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80" activeTab="0"/>
  </bookViews>
  <sheets>
    <sheet name="Расчет распределения дотаций" sheetId="1" r:id="rId1"/>
    <sheet name="Расчет уровня бюджетной обеспеч" sheetId="2" r:id="rId2"/>
    <sheet name="Расчет  индекса НП" sheetId="3" r:id="rId3"/>
    <sheet name="Расчет индекса бюджетных расх" sheetId="4" r:id="rId4"/>
    <sheet name="Лист1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=('Расчет  индекса НП'!B12/'Расчет  индекса НП'!D12)*('Расчет распределения дотаций'!E12-'Расчет уровня бюджетной обеспеч'!B5)*'Расчет индекса бюджетных расх'!B6*'Расчет индекса бюджетных расх'!R6
</t>
        </r>
      </text>
    </comment>
  </commentList>
</comments>
</file>

<file path=xl/sharedStrings.xml><?xml version="1.0" encoding="utf-8"?>
<sst xmlns="http://schemas.openxmlformats.org/spreadsheetml/2006/main" count="180" uniqueCount="114">
  <si>
    <t>Акташ</t>
  </si>
  <si>
    <t>Улаган</t>
  </si>
  <si>
    <t>Саратан</t>
  </si>
  <si>
    <t>Чибиля</t>
  </si>
  <si>
    <t>Чибит</t>
  </si>
  <si>
    <t>Балыктуюль</t>
  </si>
  <si>
    <t>Челушман</t>
  </si>
  <si>
    <t>Коэф. Диспрессивности расселения  n-го поселения</t>
  </si>
  <si>
    <t>Кол-во сел с числ. Постоянного населения не более 500 чел. в n-ом поселении</t>
  </si>
  <si>
    <t xml:space="preserve">Кол-во сел в n-ом поселении </t>
  </si>
  <si>
    <t>Кол-во сел с числ. постоянного населения не более 500 чел. в поселениях входящих в состав  МР</t>
  </si>
  <si>
    <t>Кол-во сел в поселениях входящих в состав МР</t>
  </si>
  <si>
    <t>Коэф.плотности населения n-го поселения</t>
  </si>
  <si>
    <t>Площадь территории n-го поселения</t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</si>
  <si>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 xml:space="preserve"> пл n</t>
    </r>
  </si>
  <si>
    <r>
      <rPr>
        <b/>
        <sz val="14"/>
        <color indexed="8"/>
        <rFont val="Times New Roman"/>
        <family val="1"/>
      </rPr>
      <t xml:space="preserve">К </t>
    </r>
    <r>
      <rPr>
        <b/>
        <sz val="11"/>
        <color indexed="8"/>
        <rFont val="Times New Roman"/>
        <family val="1"/>
      </rPr>
      <t>дисп n</t>
    </r>
  </si>
  <si>
    <t>Численность постоянного населения в n-ом поселении</t>
  </si>
  <si>
    <t xml:space="preserve">П тер </t>
  </si>
  <si>
    <t>Площадь територии поселений входящих в состав муниципального района</t>
  </si>
  <si>
    <t>Численность постоянного населения в поселениях ,входящих в состав МР</t>
  </si>
  <si>
    <t>Площадь жилого фонда n-го поселения;</t>
  </si>
  <si>
    <t>Нn</t>
  </si>
  <si>
    <t>Площадь жилого фонда поселений, входящих в состав муниципального района</t>
  </si>
  <si>
    <t>Численность постоянного населения в поселениях,входящих в состав муниципального района</t>
  </si>
  <si>
    <t>Коэф. Маштаба n-го поселения</t>
  </si>
  <si>
    <t>Кмn</t>
  </si>
  <si>
    <t>с</t>
  </si>
  <si>
    <t>Уд.вес численности пост.населения, в общей численности пост.населения в поселениях,вход.в состав МР</t>
  </si>
  <si>
    <t>Средняя численность постоянного населения в поселениях,входящих в состав МР</t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</si>
  <si>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срП</t>
    </r>
  </si>
  <si>
    <r>
      <rPr>
        <b/>
        <sz val="14"/>
        <color indexed="8"/>
        <rFont val="Times New Roman"/>
        <family val="1"/>
      </rPr>
      <t>К</t>
    </r>
    <r>
      <rPr>
        <b/>
        <sz val="11"/>
        <color indexed="8"/>
        <rFont val="Times New Roman"/>
        <family val="1"/>
      </rPr>
      <t>жф 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</si>
  <si>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жфn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</si>
  <si>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n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</si>
  <si>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>жф</t>
    </r>
  </si>
  <si>
    <r>
      <rPr>
        <b/>
        <sz val="14"/>
        <color indexed="8"/>
        <rFont val="Times New Roman"/>
        <family val="1"/>
      </rPr>
      <t>Н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</si>
  <si>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П</t>
    </r>
    <r>
      <rPr>
        <b/>
        <sz val="11"/>
        <color indexed="8"/>
        <rFont val="Times New Roman"/>
        <family val="1"/>
      </rPr>
      <t xml:space="preserve"> тер n</t>
    </r>
  </si>
  <si>
    <r>
      <rPr>
        <b/>
        <sz val="14"/>
        <color indexed="8"/>
        <rFont val="Times New Roman"/>
        <family val="1"/>
      </rPr>
      <t>Н</t>
    </r>
    <r>
      <rPr>
        <b/>
        <sz val="10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</si>
  <si>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 xml:space="preserve">С </t>
    </r>
    <r>
      <rPr>
        <b/>
        <sz val="11"/>
        <color indexed="8"/>
        <rFont val="Times New Roman"/>
        <family val="1"/>
      </rPr>
      <t>500 n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</si>
  <si>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 xml:space="preserve"> n</t>
    </r>
  </si>
  <si>
    <r>
      <rPr>
        <b/>
        <sz val="14"/>
        <color indexed="8"/>
        <rFont val="Times New Roman"/>
        <family val="1"/>
      </rPr>
      <t>С</t>
    </r>
    <r>
      <rPr>
        <b/>
        <sz val="10"/>
        <color indexed="8"/>
        <rFont val="Times New Roman"/>
        <family val="1"/>
      </rPr>
      <t>500</t>
    </r>
    <r>
      <rPr>
        <b/>
        <sz val="11"/>
        <color indexed="8"/>
        <rFont val="Times New Roman"/>
        <family val="1"/>
      </rPr>
      <t>П</t>
    </r>
  </si>
  <si>
    <r>
      <rPr>
        <b/>
        <sz val="14"/>
        <color indexed="8"/>
        <rFont val="Times New Roman"/>
        <family val="1"/>
      </rPr>
      <t>С</t>
    </r>
    <r>
      <rPr>
        <b/>
        <sz val="11"/>
        <color indexed="8"/>
        <rFont val="Times New Roman"/>
        <family val="1"/>
      </rPr>
      <t>П</t>
    </r>
  </si>
  <si>
    <t>Коэф. Структуры потребителей мун.услуг в n-ом поселении</t>
  </si>
  <si>
    <t>К стр n</t>
  </si>
  <si>
    <t>Коэф. Цен  n-го поселения</t>
  </si>
  <si>
    <t>К цен n</t>
  </si>
  <si>
    <t>Рn</t>
  </si>
  <si>
    <t>Расстояние от адм.центра МР до адм.центра n-го поселения</t>
  </si>
  <si>
    <t>Т</t>
  </si>
  <si>
    <t>Установленная ст-сть 1 т/км перевозки грузов</t>
  </si>
  <si>
    <t>Стоимость фиксированного набора товаров и услуг в мун.р</t>
  </si>
  <si>
    <t>СФН мр</t>
  </si>
  <si>
    <t>Индекс бюджетных расходов n-го поселения</t>
  </si>
  <si>
    <t>ИБРn</t>
  </si>
  <si>
    <t>ИНПn</t>
  </si>
  <si>
    <t xml:space="preserve"> </t>
  </si>
  <si>
    <t>Индекс налогового потенциала n-го поселения</t>
  </si>
  <si>
    <r>
      <rPr>
        <b/>
        <sz val="14"/>
        <color indexed="8"/>
        <rFont val="Times New Roman"/>
        <family val="1"/>
      </rPr>
      <t>НП</t>
    </r>
    <r>
      <rPr>
        <b/>
        <sz val="11"/>
        <color indexed="8"/>
        <rFont val="Times New Roman"/>
        <family val="1"/>
      </rPr>
      <t>П</t>
    </r>
  </si>
  <si>
    <t>Сумарный налоговый потенциал поселений входящих в состав  МР</t>
  </si>
  <si>
    <t>Расчет налогового потенциала n-го поселения</t>
  </si>
  <si>
    <t>НП ндфл n</t>
  </si>
  <si>
    <t>НП есхн n</t>
  </si>
  <si>
    <t>НП ЗН n</t>
  </si>
  <si>
    <t>НП нифл n</t>
  </si>
  <si>
    <t>ПНДi</t>
  </si>
  <si>
    <t xml:space="preserve">прогноз поступления доходов </t>
  </si>
  <si>
    <t>Бнi</t>
  </si>
  <si>
    <t xml:space="preserve">База налогообложения </t>
  </si>
  <si>
    <t>SUM  БНi</t>
  </si>
  <si>
    <t>НП гп п</t>
  </si>
  <si>
    <t>Прогноз поступления</t>
  </si>
  <si>
    <t>Уровень бюджетной обеспеченности поселения</t>
  </si>
  <si>
    <t>БО n</t>
  </si>
  <si>
    <t>Объем дотации на выравнивание бюджетной обеспеченности поселений n-му поселению</t>
  </si>
  <si>
    <t>Ф</t>
  </si>
  <si>
    <r>
      <rPr>
        <b/>
        <sz val="14"/>
        <color indexed="8"/>
        <rFont val="Times New Roman"/>
        <family val="1"/>
      </rPr>
      <t>Д</t>
    </r>
    <r>
      <rPr>
        <b/>
        <sz val="11"/>
        <color indexed="8"/>
        <rFont val="Times New Roman"/>
        <family val="1"/>
      </rPr>
      <t>n</t>
    </r>
  </si>
  <si>
    <t>Общий объем Районного фонда финансовой поддержки поселений</t>
  </si>
  <si>
    <r>
      <rPr>
        <b/>
        <sz val="14"/>
        <color indexed="8"/>
        <rFont val="Times New Roman"/>
        <family val="1"/>
      </rPr>
      <t>Тn</t>
    </r>
    <r>
      <rPr>
        <sz val="11"/>
        <color indexed="8"/>
        <rFont val="Times New Roman"/>
        <family val="1"/>
      </rPr>
      <t xml:space="preserve">  Объем средств ,необходимый для доведения уровня бюдж.обеспеченности n-го поселения до уровня, установленного в качестве критерия выравн.бюдж. Обесп.поселений </t>
    </r>
  </si>
  <si>
    <t>БО крп</t>
  </si>
  <si>
    <t>Уровень бюдж.обесп.установленный в качестве критерия выравнивания бюдж.обесп.</t>
  </si>
  <si>
    <t>ПНД П</t>
  </si>
  <si>
    <t>Прогноз налоговых доходов бюджетов поселений</t>
  </si>
  <si>
    <t>а1</t>
  </si>
  <si>
    <t>а2</t>
  </si>
  <si>
    <t>а3</t>
  </si>
  <si>
    <t>расчетный удельный вес расходов на содержание органов местного самоуправления в Республике Алтай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</si>
  <si>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расходов на благоустройство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</t>
  </si>
  <si>
    <t>расчетный удельный вес прочих расходов в среднем по бюджетам поселений, входящих в состав муниципального района, осуществляемых за счет средств местных бюджетов (за исключением целевых средств, предоставляемых из республиканского бюджета Республики Алтай и бюджета муниципального района);</t>
  </si>
  <si>
    <t>НП мн n</t>
  </si>
  <si>
    <t>Сумарная база налогообложения</t>
  </si>
  <si>
    <t>SUM</t>
  </si>
  <si>
    <t>ИРО</t>
  </si>
  <si>
    <t>ПНД п</t>
  </si>
  <si>
    <t>Изменение объема расходных обязательств бюджетов поселений в очередном финансовом году по сравнению с текущим финансовым годом</t>
  </si>
  <si>
    <t>Расчет индекса бюджетных расходов</t>
  </si>
  <si>
    <t>Расчет индекса налогового потенциала</t>
  </si>
  <si>
    <t>Индекс налогового потенциала/индекс бюджетных расходов</t>
  </si>
  <si>
    <t>собств. дох.</t>
  </si>
  <si>
    <t>Распределение дотаций с учетом передачи  муниципальному району полномочий по культуре</t>
  </si>
  <si>
    <t>Дn</t>
  </si>
  <si>
    <t>НПn - n-го поселения</t>
  </si>
  <si>
    <t>НП ni</t>
  </si>
  <si>
    <t>Налоговый потенциал по ГП</t>
  </si>
  <si>
    <t>Дт</t>
  </si>
  <si>
    <t>тыс.м2</t>
  </si>
  <si>
    <t>С</t>
  </si>
  <si>
    <t>Общий объем Районного фонда финансовой поддержки поселений в текущем финансовом году</t>
  </si>
  <si>
    <t xml:space="preserve">V дотаций за счет субвенций </t>
  </si>
  <si>
    <t>Расчет распределения дотаций из РФФПП</t>
  </si>
  <si>
    <t xml:space="preserve">  Расчет уровня бюджетной обеспеченности СП</t>
  </si>
  <si>
    <t>Коэф.дифферен.расходов на благоустройство n-го</t>
  </si>
  <si>
    <t>ИСПРАВЛ</t>
  </si>
  <si>
    <t>РАСЧИТ</t>
  </si>
  <si>
    <t>Разница</t>
  </si>
  <si>
    <t>числ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</si>
</sst>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000E+00"/>
    <numFmt numFmtId="174" formatCode="0.00000"/>
    <numFmt numFmtId="175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2" fillId="0" borderId="10" xfId="53" applyFont="1" applyBorder="1">
      <alignment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2" fillId="33" borderId="10" xfId="53" applyFont="1" applyFill="1" applyBorder="1">
      <alignment/>
      <protection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0" fontId="3" fillId="33" borderId="10" xfId="53" applyFont="1" applyFill="1" applyBorder="1">
      <alignment/>
      <protection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0" fillId="33" borderId="10" xfId="0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35" borderId="10" xfId="53" applyFont="1" applyFill="1" applyBorder="1">
      <alignment/>
      <protection/>
    </xf>
    <xf numFmtId="0" fontId="6" fillId="0" borderId="13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172" fontId="2" fillId="33" borderId="10" xfId="53" applyNumberFormat="1" applyFont="1" applyFill="1" applyBorder="1">
      <alignment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2" fillId="33" borderId="10" xfId="53" applyNumberFormat="1" applyFont="1" applyFill="1" applyBorder="1">
      <alignment/>
      <protection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5" fillId="13" borderId="10" xfId="0" applyFont="1" applyFill="1" applyBorder="1" applyAlignment="1">
      <alignment/>
    </xf>
    <xf numFmtId="0" fontId="2" fillId="13" borderId="10" xfId="53" applyFont="1" applyFill="1" applyBorder="1">
      <alignment/>
      <protection/>
    </xf>
    <xf numFmtId="174" fontId="6" fillId="33" borderId="10" xfId="0" applyNumberFormat="1" applyFont="1" applyFill="1" applyBorder="1" applyAlignment="1">
      <alignment/>
    </xf>
    <xf numFmtId="2" fontId="3" fillId="33" borderId="10" xfId="53" applyNumberFormat="1" applyFont="1" applyFill="1" applyBorder="1">
      <alignment/>
      <protection/>
    </xf>
    <xf numFmtId="0" fontId="5" fillId="13" borderId="0" xfId="0" applyFont="1" applyFill="1" applyAlignment="1">
      <alignment/>
    </xf>
    <xf numFmtId="2" fontId="2" fillId="0" borderId="10" xfId="53" applyNumberFormat="1" applyFont="1" applyBorder="1">
      <alignment/>
      <protection/>
    </xf>
    <xf numFmtId="2" fontId="6" fillId="33" borderId="14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2" fontId="5" fillId="33" borderId="12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5" fillId="13" borderId="11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9" xfId="0" applyFont="1" applyBorder="1" applyAlignment="1">
      <alignment/>
    </xf>
    <xf numFmtId="0" fontId="51" fillId="36" borderId="11" xfId="0" applyFont="1" applyFill="1" applyBorder="1" applyAlignment="1">
      <alignment wrapText="1"/>
    </xf>
    <xf numFmtId="0" fontId="16" fillId="36" borderId="2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6" fillId="13" borderId="0" xfId="0" applyFont="1" applyFill="1" applyAlignment="1">
      <alignment/>
    </xf>
    <xf numFmtId="2" fontId="5" fillId="33" borderId="11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2" fontId="5" fillId="0" borderId="10" xfId="0" applyNumberFormat="1" applyFont="1" applyBorder="1" applyAlignment="1">
      <alignment/>
    </xf>
    <xf numFmtId="2" fontId="5" fillId="13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175" fontId="0" fillId="0" borderId="10" xfId="0" applyNumberFormat="1" applyBorder="1" applyAlignment="1">
      <alignment/>
    </xf>
    <xf numFmtId="172" fontId="6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5" fillId="33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0" fillId="33" borderId="10" xfId="0" applyNumberFormat="1" applyFill="1" applyBorder="1" applyAlignment="1">
      <alignment/>
    </xf>
    <xf numFmtId="1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20" xfId="0" applyFont="1" applyFill="1" applyBorder="1" applyAlignment="1">
      <alignment wrapText="1"/>
    </xf>
    <xf numFmtId="0" fontId="5" fillId="0" borderId="21" xfId="0" applyFont="1" applyBorder="1" applyAlignment="1">
      <alignment wrapText="1"/>
    </xf>
    <xf numFmtId="2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5" fillId="33" borderId="11" xfId="0" applyFont="1" applyFill="1" applyBorder="1" applyAlignment="1">
      <alignment wrapText="1"/>
    </xf>
    <xf numFmtId="0" fontId="0" fillId="33" borderId="20" xfId="0" applyFill="1" applyBorder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21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6" fillId="34" borderId="11" xfId="0" applyFont="1" applyFill="1" applyBorder="1" applyAlignment="1">
      <alignment/>
    </xf>
    <xf numFmtId="0" fontId="0" fillId="34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2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0" fillId="0" borderId="20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Формы расчетов поселений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Тысячи [0]_перечис.11" xfId="61"/>
    <cellStyle name="Тысячи_перечис.11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s\&#1092;&#1080;&#1085;&#1086;&#1090;&#1076;&#1077;&#1083;\Desktop\&#1056;&#1072;&#1089;&#1095;&#1077;&#1090;&#1099;%20&#1076;&#1086;&#1090;&#1072;&#1094;&#1080;&#1081;%20&#1057;&#1055;\&#1088;&#1072;&#1089;&#1095;&#1077;&#1090;%20&#1076;&#1086;&#1090;&#1072;&#1094;&#1080;&#1081;%20&#1086;&#1082;&#1086;&#1085;%202015%20&#1076;&#1083;&#1103;%20&#1052;&#1060;\&#1088;&#1072;&#1089;&#1095;&#1077;&#1090;%20&#1076;&#1086;&#1090;&#1072;&#1094;&#1080;&#1080;&#1081;%20&#1085;&#1072;%202015&#1075;%20%20&#1086;&#1082;&#1086;&#1085;&#109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распределения дотаций"/>
      <sheetName val="Расчет уровня бюджетной обеспеч"/>
      <sheetName val="Расчет  индекса НП"/>
      <sheetName val="Расчет индекса бюджетных расх"/>
      <sheetName val="Лист1"/>
    </sheetNames>
    <sheetDataSet>
      <sheetData sheetId="0">
        <row r="3">
          <cell r="D3" t="str">
            <v>Объем дотации на выравнивание бюджетной обеспеченности поселений n-му поселению</v>
          </cell>
        </row>
        <row r="5">
          <cell r="D5">
            <v>1693.261527084058</v>
          </cell>
        </row>
        <row r="6">
          <cell r="D6">
            <v>1063.075186719714</v>
          </cell>
        </row>
        <row r="7">
          <cell r="D7">
            <v>2214.6221403774516</v>
          </cell>
        </row>
        <row r="8">
          <cell r="D8">
            <v>2214.6015265184</v>
          </cell>
        </row>
        <row r="9">
          <cell r="D9">
            <v>2168.9996436132606</v>
          </cell>
        </row>
        <row r="10">
          <cell r="D10">
            <v>2029.73371639395</v>
          </cell>
        </row>
        <row r="11">
          <cell r="D11">
            <v>2182.656259293166</v>
          </cell>
        </row>
        <row r="12">
          <cell r="D12">
            <v>13566.95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13.28125" style="1" customWidth="1"/>
    <col min="2" max="2" width="11.421875" style="1" hidden="1" customWidth="1"/>
    <col min="3" max="3" width="18.28125" style="1" hidden="1" customWidth="1"/>
    <col min="4" max="4" width="18.140625" style="1" customWidth="1"/>
    <col min="5" max="5" width="11.8515625" style="1" customWidth="1"/>
    <col min="6" max="6" width="17.57421875" style="1" customWidth="1"/>
    <col min="7" max="7" width="11.8515625" style="1" customWidth="1"/>
    <col min="8" max="8" width="8.57421875" style="1" hidden="1" customWidth="1"/>
    <col min="9" max="9" width="14.00390625" style="1" customWidth="1"/>
    <col min="10" max="10" width="15.140625" style="1" customWidth="1"/>
    <col min="11" max="11" width="9.57421875" style="1" hidden="1" customWidth="1"/>
    <col min="12" max="12" width="12.8515625" style="1" hidden="1" customWidth="1"/>
    <col min="13" max="13" width="15.421875" style="1" hidden="1" customWidth="1"/>
    <col min="14" max="14" width="0.2890625" style="1" hidden="1" customWidth="1"/>
    <col min="15" max="15" width="9.140625" style="1" hidden="1" customWidth="1"/>
    <col min="16" max="16" width="0.13671875" style="1" customWidth="1"/>
    <col min="17" max="18" width="9.140625" style="1" hidden="1" customWidth="1"/>
    <col min="19" max="16384" width="9.140625" style="1" customWidth="1"/>
  </cols>
  <sheetData>
    <row r="1" spans="1:9" ht="20.25">
      <c r="A1" s="89" t="s">
        <v>107</v>
      </c>
      <c r="B1" s="89"/>
      <c r="C1" s="89"/>
      <c r="D1" s="90"/>
      <c r="E1" s="90"/>
      <c r="F1" s="90"/>
      <c r="G1" s="90"/>
      <c r="H1" s="90"/>
      <c r="I1" s="90"/>
    </row>
    <row r="2" spans="11:12" ht="48.75" customHeight="1">
      <c r="K2" s="91" t="s">
        <v>97</v>
      </c>
      <c r="L2" s="91"/>
    </row>
    <row r="3" spans="1:13" s="29" customFormat="1" ht="150.75" customHeight="1">
      <c r="A3" s="4"/>
      <c r="B3" s="4"/>
      <c r="C3" s="4"/>
      <c r="D3" s="8" t="s">
        <v>72</v>
      </c>
      <c r="E3" s="4" t="s">
        <v>105</v>
      </c>
      <c r="F3" s="87" t="s">
        <v>76</v>
      </c>
      <c r="G3" s="8" t="s">
        <v>78</v>
      </c>
      <c r="H3" s="4"/>
      <c r="I3" s="4" t="s">
        <v>92</v>
      </c>
      <c r="J3" s="4" t="s">
        <v>106</v>
      </c>
      <c r="K3" s="3" t="s">
        <v>72</v>
      </c>
      <c r="L3" s="17" t="s">
        <v>75</v>
      </c>
      <c r="M3" s="4"/>
    </row>
    <row r="4" spans="1:13" s="32" customFormat="1" ht="18.75">
      <c r="A4" s="28"/>
      <c r="B4" s="28"/>
      <c r="C4" s="28"/>
      <c r="D4" s="30" t="s">
        <v>74</v>
      </c>
      <c r="E4" s="31" t="s">
        <v>102</v>
      </c>
      <c r="F4" s="88"/>
      <c r="G4" s="30" t="s">
        <v>77</v>
      </c>
      <c r="H4" s="28" t="s">
        <v>89</v>
      </c>
      <c r="I4" s="28" t="s">
        <v>90</v>
      </c>
      <c r="J4" s="28" t="s">
        <v>104</v>
      </c>
      <c r="K4" s="30" t="s">
        <v>98</v>
      </c>
      <c r="L4" s="31" t="s">
        <v>73</v>
      </c>
      <c r="M4" s="28"/>
    </row>
    <row r="5" spans="1:16" ht="15">
      <c r="A5" s="6" t="s">
        <v>0</v>
      </c>
      <c r="B5" s="53">
        <f>D5-C5</f>
        <v>680.7</v>
      </c>
      <c r="C5" s="6">
        <v>1693.3</v>
      </c>
      <c r="D5" s="80">
        <v>2374</v>
      </c>
      <c r="E5" s="2"/>
      <c r="F5" s="41">
        <f>(('Расчет  индекса НП'!B12/'Расчет  индекса НП'!D12)*('Расчет распределения дотаций'!G12-'Расчет уровня бюджетной обеспеч'!B5)*'Расчет индекса бюджетных расх'!B6*'Расчет индекса бюджетных расх'!R6)/1000</f>
        <v>395.9751702888616</v>
      </c>
      <c r="G5" s="77"/>
      <c r="H5" s="2"/>
      <c r="I5" s="71">
        <v>-4234.10846011324</v>
      </c>
      <c r="J5" s="71">
        <v>998</v>
      </c>
      <c r="K5" s="40">
        <v>0</v>
      </c>
      <c r="L5" s="16"/>
      <c r="M5" s="2">
        <v>1759.4</v>
      </c>
      <c r="N5" s="78">
        <v>755</v>
      </c>
      <c r="O5" s="78">
        <f>D5-N5</f>
        <v>1619</v>
      </c>
      <c r="P5" s="78"/>
    </row>
    <row r="6" spans="1:18" ht="15">
      <c r="A6" s="6" t="s">
        <v>1</v>
      </c>
      <c r="B6" s="53">
        <f aca="true" t="shared" si="0" ref="B6:B11">D6-C6</f>
        <v>3704.92</v>
      </c>
      <c r="C6" s="6">
        <v>1063.08</v>
      </c>
      <c r="D6" s="80">
        <v>4768</v>
      </c>
      <c r="E6" s="2"/>
      <c r="F6" s="41">
        <f>(('Расчет  индекса НП'!B12/'Расчет  индекса НП'!D12)*('Расчет распределения дотаций'!G12-'Расчет уровня бюджетной обеспеч'!B6)*'Расчет индекса бюджетных расх'!B7*'Расчет индекса бюджетных расх'!R7)/1000</f>
        <v>33.83344435668724</v>
      </c>
      <c r="G6" s="77"/>
      <c r="H6" s="2"/>
      <c r="I6" s="71">
        <v>-427.59016608637967</v>
      </c>
      <c r="J6" s="71">
        <v>1134</v>
      </c>
      <c r="K6" s="40">
        <v>0</v>
      </c>
      <c r="L6" s="16"/>
      <c r="M6" s="2">
        <v>2146.3</v>
      </c>
      <c r="N6" s="1">
        <v>3308</v>
      </c>
      <c r="O6" s="78">
        <f aca="true" t="shared" si="1" ref="O6:O13">D6-N6</f>
        <v>1460</v>
      </c>
      <c r="P6" s="1">
        <v>3702</v>
      </c>
      <c r="Q6" s="86">
        <f aca="true" t="shared" si="2" ref="Q6:Q11">D6-P6</f>
        <v>1066</v>
      </c>
      <c r="R6" s="78">
        <f aca="true" t="shared" si="3" ref="R6:R11">I6-Q6</f>
        <v>-1493.5901660863797</v>
      </c>
    </row>
    <row r="7" spans="1:18" ht="15">
      <c r="A7" s="6" t="s">
        <v>2</v>
      </c>
      <c r="B7" s="53">
        <f t="shared" si="0"/>
        <v>3472.38</v>
      </c>
      <c r="C7" s="6">
        <v>2214.62</v>
      </c>
      <c r="D7" s="80">
        <v>5687</v>
      </c>
      <c r="E7" s="2"/>
      <c r="F7" s="41">
        <f>(('Расчет  индекса НП'!B12/'Расчет  индекса НП'!D12)*('Расчет распределения дотаций'!G12-'Расчет уровня бюджетной обеспеч'!B7)*'Расчет индекса бюджетных расх'!B8*'Расчет индекса бюджетных расх'!R8)/1000</f>
        <v>1222.6711411978854</v>
      </c>
      <c r="G7" s="77"/>
      <c r="H7" s="2"/>
      <c r="I7" s="71">
        <v>-4829.970714780717</v>
      </c>
      <c r="J7" s="71">
        <v>504</v>
      </c>
      <c r="K7" s="40">
        <v>1675</v>
      </c>
      <c r="L7" s="16"/>
      <c r="M7" s="2">
        <v>629.9</v>
      </c>
      <c r="N7" s="1">
        <v>4295</v>
      </c>
      <c r="O7" s="78">
        <f t="shared" si="1"/>
        <v>1392</v>
      </c>
      <c r="P7" s="1">
        <v>5037</v>
      </c>
      <c r="Q7" s="86">
        <f t="shared" si="2"/>
        <v>650</v>
      </c>
      <c r="R7" s="78">
        <f t="shared" si="3"/>
        <v>-5479.970714780717</v>
      </c>
    </row>
    <row r="8" spans="1:18" ht="15">
      <c r="A8" s="6" t="s">
        <v>3</v>
      </c>
      <c r="B8" s="53">
        <f t="shared" si="0"/>
        <v>1426.4</v>
      </c>
      <c r="C8" s="6">
        <v>2214.6</v>
      </c>
      <c r="D8" s="80">
        <v>3641</v>
      </c>
      <c r="E8" s="2"/>
      <c r="F8" s="41">
        <f>(('Расчет  индекса НП'!B12/'Расчет  индекса НП'!D12)*('Расчет распределения дотаций'!G12-'Расчет уровня бюджетной обеспеч'!B8)*'Расчет индекса бюджетных расх'!B9*'Расчет индекса бюджетных расх'!R9)/1000</f>
        <v>651.7744313502966</v>
      </c>
      <c r="G8" s="77"/>
      <c r="H8" s="2"/>
      <c r="I8" s="71">
        <v>-4420.191971396897</v>
      </c>
      <c r="J8" s="71">
        <v>547</v>
      </c>
      <c r="K8" s="40">
        <v>2090</v>
      </c>
      <c r="L8" s="16"/>
      <c r="M8" s="2">
        <v>642.7</v>
      </c>
      <c r="N8" s="1">
        <v>3183</v>
      </c>
      <c r="O8" s="78">
        <f t="shared" si="1"/>
        <v>458</v>
      </c>
      <c r="P8" s="1">
        <v>3019</v>
      </c>
      <c r="Q8" s="86">
        <f t="shared" si="2"/>
        <v>622</v>
      </c>
      <c r="R8" s="78">
        <f t="shared" si="3"/>
        <v>-5042.191971396897</v>
      </c>
    </row>
    <row r="9" spans="1:18" ht="15">
      <c r="A9" s="6" t="s">
        <v>4</v>
      </c>
      <c r="B9" s="53">
        <f t="shared" si="0"/>
        <v>1795</v>
      </c>
      <c r="C9" s="6">
        <v>2169</v>
      </c>
      <c r="D9" s="80">
        <v>3964</v>
      </c>
      <c r="E9" s="2"/>
      <c r="F9" s="41">
        <f>(('Расчет  индекса НП'!B12/'Расчет  индекса НП'!D12)*('Расчет распределения дотаций'!G12-'Расчет уровня бюджетной обеспеч'!B9)*'Расчет индекса бюджетных расх'!B10*'Расчет индекса бюджетных расх'!R10)/1000</f>
        <v>356.37935667773223</v>
      </c>
      <c r="G9" s="77"/>
      <c r="H9" s="2"/>
      <c r="I9" s="71">
        <v>-2741.76481325035</v>
      </c>
      <c r="J9" s="71">
        <v>532</v>
      </c>
      <c r="K9" s="40">
        <v>1754</v>
      </c>
      <c r="L9" s="16"/>
      <c r="M9" s="2">
        <v>432.3</v>
      </c>
      <c r="N9" s="1">
        <v>3084</v>
      </c>
      <c r="O9" s="78">
        <f t="shared" si="1"/>
        <v>880</v>
      </c>
      <c r="P9" s="1">
        <v>3400</v>
      </c>
      <c r="Q9" s="86">
        <f t="shared" si="2"/>
        <v>564</v>
      </c>
      <c r="R9" s="78">
        <f t="shared" si="3"/>
        <v>-3305.76481325035</v>
      </c>
    </row>
    <row r="10" spans="1:18" ht="15">
      <c r="A10" s="6" t="s">
        <v>5</v>
      </c>
      <c r="B10" s="53">
        <f t="shared" si="0"/>
        <v>1189.27</v>
      </c>
      <c r="C10" s="6">
        <v>2029.73</v>
      </c>
      <c r="D10" s="80">
        <v>3219</v>
      </c>
      <c r="E10" s="2"/>
      <c r="F10" s="41">
        <f>(('Расчет  индекса НП'!B12/'Расчет  индекса НП'!D12)*('Расчет распределения дотаций'!G12-'Расчет уровня бюджетной обеспеч'!B10)*'Расчет индекса бюджетных расх'!B11*'Расчет индекса бюджетных расх'!R11)/1000</f>
        <v>1735.7365162364429</v>
      </c>
      <c r="G10" s="77"/>
      <c r="H10" s="2"/>
      <c r="I10" s="71">
        <v>-9325.337092631733</v>
      </c>
      <c r="J10" s="71">
        <v>640</v>
      </c>
      <c r="K10" s="40">
        <v>1613</v>
      </c>
      <c r="L10" s="16"/>
      <c r="M10" s="2">
        <v>1067.3</v>
      </c>
      <c r="N10" s="1">
        <v>2184</v>
      </c>
      <c r="O10" s="78">
        <f t="shared" si="1"/>
        <v>1035</v>
      </c>
      <c r="P10" s="1">
        <v>2743</v>
      </c>
      <c r="Q10" s="86">
        <f t="shared" si="2"/>
        <v>476</v>
      </c>
      <c r="R10" s="78">
        <f t="shared" si="3"/>
        <v>-9801.337092631733</v>
      </c>
    </row>
    <row r="11" spans="1:18" ht="15">
      <c r="A11" s="6" t="s">
        <v>6</v>
      </c>
      <c r="B11" s="53">
        <f t="shared" si="0"/>
        <v>828.7399999999998</v>
      </c>
      <c r="C11" s="6">
        <v>2182.66</v>
      </c>
      <c r="D11" s="81">
        <v>3011.3999999999996</v>
      </c>
      <c r="E11" s="2"/>
      <c r="F11" s="41">
        <f>(('Расчет  индекса НП'!B12/'Расчет  индекса НП'!D12)*('Расчет распределения дотаций'!G12-'Расчет уровня бюджетной обеспеч'!B11)*'Расчет индекса бюджетных расх'!B12*'Расчет индекса бюджетных расх'!R12)/1000</f>
        <v>1468.4338502253054</v>
      </c>
      <c r="G11" s="77"/>
      <c r="H11" s="2"/>
      <c r="I11" s="71">
        <v>-8339.236781740685</v>
      </c>
      <c r="J11" s="71">
        <v>586.1</v>
      </c>
      <c r="K11" s="40">
        <v>1613</v>
      </c>
      <c r="L11" s="16"/>
      <c r="M11" s="2">
        <v>698.5</v>
      </c>
      <c r="N11" s="1">
        <v>2514.3</v>
      </c>
      <c r="O11" s="78">
        <f t="shared" si="1"/>
        <v>497.09999999999945</v>
      </c>
      <c r="P11" s="1">
        <v>2562</v>
      </c>
      <c r="Q11" s="86">
        <f t="shared" si="2"/>
        <v>449.39999999999964</v>
      </c>
      <c r="R11" s="78">
        <f t="shared" si="3"/>
        <v>-8788.636781740684</v>
      </c>
    </row>
    <row r="12" spans="1:16" ht="15">
      <c r="A12" s="7"/>
      <c r="B12" s="7"/>
      <c r="C12" s="41">
        <f>C5+C6+C7+C8+C9+C10+C11</f>
        <v>13566.99</v>
      </c>
      <c r="D12" s="81">
        <f>D6+D7+D8+D9+D10+D11+D5</f>
        <v>26664.4</v>
      </c>
      <c r="E12" s="7">
        <v>26664.4</v>
      </c>
      <c r="F12" s="41">
        <f>F5+F6+F7+F8+F9+F10+F11</f>
        <v>5864.803910333212</v>
      </c>
      <c r="G12" s="77">
        <v>3</v>
      </c>
      <c r="H12" s="7"/>
      <c r="I12" s="7"/>
      <c r="J12" s="41">
        <f>J5+J6+J7+J8+J9+J10+J11</f>
        <v>4941.1</v>
      </c>
      <c r="K12" s="41">
        <f>K5+K6+K7+K8+K9+K10+K11</f>
        <v>8745</v>
      </c>
      <c r="L12" s="41">
        <f>L5+L6+L7+L8+L9+L10+L11</f>
        <v>0</v>
      </c>
      <c r="M12" s="41">
        <f>M5+M6+M7+M8+M9+M10+M11</f>
        <v>7376.400000000001</v>
      </c>
      <c r="N12" s="41">
        <f>N5+N6+N7+N8+N9+N10+N11</f>
        <v>19323.3</v>
      </c>
      <c r="O12" s="78">
        <f t="shared" si="1"/>
        <v>7341.100000000002</v>
      </c>
      <c r="P12" s="1">
        <f>P6+P7+P8+P9+P10+P11</f>
        <v>20463</v>
      </c>
    </row>
    <row r="13" spans="4:15" ht="27" customHeight="1" hidden="1">
      <c r="D13" s="70"/>
      <c r="E13" s="70"/>
      <c r="F13" s="70"/>
      <c r="G13" s="70"/>
      <c r="H13" s="70"/>
      <c r="I13" s="70"/>
      <c r="J13" s="70">
        <f>J12/M12*100</f>
        <v>66.98525025757822</v>
      </c>
      <c r="K13" s="52" t="s">
        <v>102</v>
      </c>
      <c r="O13" s="78">
        <f t="shared" si="1"/>
        <v>0</v>
      </c>
    </row>
    <row r="14" spans="5:16" ht="15">
      <c r="E14" s="70"/>
      <c r="F14" s="70"/>
      <c r="G14" s="70"/>
      <c r="H14" s="70"/>
      <c r="I14" s="70" t="s">
        <v>54</v>
      </c>
      <c r="J14" s="70"/>
      <c r="P14" s="78">
        <f>P12-D12</f>
        <v>-6201.4000000000015</v>
      </c>
    </row>
    <row r="15" ht="15">
      <c r="A15" s="1" t="s">
        <v>54</v>
      </c>
    </row>
    <row r="16" ht="15">
      <c r="F16" s="78"/>
    </row>
  </sheetData>
  <sheetProtection/>
  <mergeCells count="3">
    <mergeCell ref="F3:F4"/>
    <mergeCell ref="A1:I1"/>
    <mergeCell ref="K2:L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5.140625" style="0" customWidth="1"/>
    <col min="2" max="2" width="17.8515625" style="0" customWidth="1"/>
    <col min="3" max="3" width="17.00390625" style="0" customWidth="1"/>
  </cols>
  <sheetData>
    <row r="1" ht="15">
      <c r="A1" t="s">
        <v>108</v>
      </c>
    </row>
    <row r="3" spans="1:2" s="25" customFormat="1" ht="60">
      <c r="A3" s="4"/>
      <c r="B3" s="27" t="s">
        <v>70</v>
      </c>
    </row>
    <row r="4" spans="1:3" s="25" customFormat="1" ht="15">
      <c r="A4" s="26"/>
      <c r="B4" s="27" t="s">
        <v>71</v>
      </c>
      <c r="C4" s="43"/>
    </row>
    <row r="5" spans="1:3" ht="15">
      <c r="A5" s="6" t="s">
        <v>0</v>
      </c>
      <c r="B5" s="79">
        <f>'Расчет  индекса НП'!C5/'Расчет индекса бюджетных расх'!B6</f>
        <v>1.8949335297810384</v>
      </c>
      <c r="C5" s="46" t="s">
        <v>95</v>
      </c>
    </row>
    <row r="6" spans="1:3" ht="15">
      <c r="A6" s="6" t="s">
        <v>1</v>
      </c>
      <c r="B6" s="79">
        <f>'Расчет  индекса НП'!C6/'Расчет индекса бюджетных расх'!B7</f>
        <v>2.942691212681436</v>
      </c>
      <c r="C6" s="44"/>
    </row>
    <row r="7" spans="1:3" ht="15">
      <c r="A7" s="6" t="s">
        <v>2</v>
      </c>
      <c r="B7" s="79">
        <f>'Расчет  индекса НП'!C7/'Расчет индекса бюджетных расх'!B8</f>
        <v>0.11003710834154222</v>
      </c>
      <c r="C7" s="44"/>
    </row>
    <row r="8" spans="1:3" ht="15">
      <c r="A8" s="6" t="s">
        <v>3</v>
      </c>
      <c r="B8" s="79">
        <f>'Расчет  индекса НП'!C8/'Расчет индекса бюджетных расх'!B9</f>
        <v>0.23203048722836858</v>
      </c>
      <c r="C8" s="44"/>
    </row>
    <row r="9" spans="1:3" ht="15">
      <c r="A9" s="6" t="s">
        <v>4</v>
      </c>
      <c r="B9" s="79">
        <f>'Расчет  индекса НП'!C9/'Расчет индекса бюджетных расх'!B10</f>
        <v>1.2107089737177084</v>
      </c>
      <c r="C9" s="44"/>
    </row>
    <row r="10" spans="1:3" ht="15">
      <c r="A10" s="6" t="s">
        <v>5</v>
      </c>
      <c r="B10" s="79">
        <f>'Расчет  индекса НП'!C10/'Расчет индекса бюджетных расх'!B11</f>
        <v>0.10807918346020808</v>
      </c>
      <c r="C10" s="44"/>
    </row>
    <row r="11" spans="1:3" ht="15">
      <c r="A11" s="6" t="s">
        <v>6</v>
      </c>
      <c r="B11" s="79">
        <f>'Расчет  индекса НП'!C11/'Расчет индекса бюджетных расх'!B12</f>
        <v>0.18815588097500732</v>
      </c>
      <c r="C11" s="44"/>
    </row>
    <row r="12" spans="1:3" ht="15">
      <c r="A12" s="7"/>
      <c r="B12" s="24" t="s">
        <v>54</v>
      </c>
      <c r="C12" s="44"/>
    </row>
    <row r="13" ht="15">
      <c r="B13" s="8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H83"/>
  <sheetViews>
    <sheetView zoomScalePageLayoutView="0" workbookViewId="0" topLeftCell="A1">
      <pane xSplit="1" topLeftCell="K1" activePane="topRight" state="frozen"/>
      <selection pane="topLeft" activeCell="A1" sqref="A1"/>
      <selection pane="topRight" activeCell="A1" sqref="A1:V11"/>
    </sheetView>
  </sheetViews>
  <sheetFormatPr defaultColWidth="9.140625" defaultRowHeight="15"/>
  <cols>
    <col min="1" max="1" width="11.28125" style="1" customWidth="1"/>
    <col min="2" max="2" width="10.57421875" style="1" customWidth="1"/>
    <col min="3" max="3" width="12.00390625" style="1" customWidth="1"/>
    <col min="4" max="4" width="12.8515625" style="1" customWidth="1"/>
    <col min="5" max="5" width="13.140625" style="1" customWidth="1"/>
    <col min="6" max="6" width="14.00390625" style="1" customWidth="1"/>
    <col min="7" max="9" width="12.140625" style="1" customWidth="1"/>
    <col min="10" max="12" width="12.8515625" style="1" customWidth="1"/>
    <col min="13" max="13" width="9.28125" style="1" customWidth="1"/>
    <col min="14" max="14" width="12.8515625" style="1" customWidth="1"/>
    <col min="15" max="15" width="10.00390625" style="1" customWidth="1"/>
    <col min="16" max="16" width="13.00390625" style="1" customWidth="1"/>
    <col min="17" max="17" width="12.7109375" style="1" customWidth="1"/>
    <col min="18" max="19" width="11.140625" style="1" customWidth="1"/>
    <col min="20" max="20" width="5.7109375" style="1" customWidth="1"/>
    <col min="21" max="21" width="8.7109375" style="1" customWidth="1"/>
    <col min="22" max="22" width="10.57421875" style="1" customWidth="1"/>
    <col min="23" max="16384" width="9.140625" style="1" customWidth="1"/>
  </cols>
  <sheetData>
    <row r="1" spans="1:9" ht="23.25">
      <c r="A1" s="92" t="s">
        <v>94</v>
      </c>
      <c r="B1" s="93"/>
      <c r="C1" s="93"/>
      <c r="D1" s="93"/>
      <c r="E1" s="93"/>
      <c r="F1" s="93"/>
      <c r="G1" s="82"/>
      <c r="H1" s="82"/>
      <c r="I1" s="82"/>
    </row>
    <row r="2" spans="3:9" ht="15">
      <c r="C2" s="1" t="s">
        <v>54</v>
      </c>
      <c r="F2" s="84"/>
      <c r="G2" s="82"/>
      <c r="H2" s="82"/>
      <c r="I2" s="82"/>
    </row>
    <row r="3" spans="3:138" s="4" customFormat="1" ht="128.25" customHeight="1">
      <c r="C3" s="8" t="s">
        <v>55</v>
      </c>
      <c r="D3" s="4" t="s">
        <v>16</v>
      </c>
      <c r="E3" s="4" t="s">
        <v>88</v>
      </c>
      <c r="F3" s="83" t="s">
        <v>58</v>
      </c>
      <c r="G3" s="94" t="s">
        <v>59</v>
      </c>
      <c r="H3" s="17" t="s">
        <v>64</v>
      </c>
      <c r="I3" s="4" t="s">
        <v>66</v>
      </c>
      <c r="J3" s="94" t="s">
        <v>60</v>
      </c>
      <c r="K3" s="17" t="s">
        <v>64</v>
      </c>
      <c r="L3" s="4" t="s">
        <v>66</v>
      </c>
      <c r="M3" s="64"/>
      <c r="N3" s="94" t="s">
        <v>62</v>
      </c>
      <c r="O3" s="17" t="s">
        <v>64</v>
      </c>
      <c r="P3" s="4" t="s">
        <v>66</v>
      </c>
      <c r="Q3" s="94" t="s">
        <v>61</v>
      </c>
      <c r="R3" s="17" t="s">
        <v>64</v>
      </c>
      <c r="S3" s="4" t="s">
        <v>66</v>
      </c>
      <c r="T3" s="4" t="s">
        <v>101</v>
      </c>
      <c r="U3" s="18" t="s">
        <v>69</v>
      </c>
      <c r="V3" s="4" t="s">
        <v>80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</row>
    <row r="4" spans="2:138" s="16" customFormat="1" ht="45.75" customHeight="1">
      <c r="B4" s="16" t="s">
        <v>91</v>
      </c>
      <c r="C4" s="5" t="s">
        <v>53</v>
      </c>
      <c r="D4" s="16" t="s">
        <v>21</v>
      </c>
      <c r="E4" s="14" t="s">
        <v>67</v>
      </c>
      <c r="F4" s="16" t="s">
        <v>99</v>
      </c>
      <c r="G4" s="95"/>
      <c r="H4" s="16" t="s">
        <v>63</v>
      </c>
      <c r="I4" s="16" t="s">
        <v>65</v>
      </c>
      <c r="J4" s="95"/>
      <c r="K4" s="16" t="s">
        <v>63</v>
      </c>
      <c r="L4" s="16" t="s">
        <v>65</v>
      </c>
      <c r="M4" s="65" t="s">
        <v>87</v>
      </c>
      <c r="N4" s="95"/>
      <c r="O4" s="16" t="s">
        <v>63</v>
      </c>
      <c r="P4" s="16" t="s">
        <v>65</v>
      </c>
      <c r="Q4" s="95"/>
      <c r="R4" s="16" t="s">
        <v>63</v>
      </c>
      <c r="S4" s="16" t="s">
        <v>65</v>
      </c>
      <c r="T4" s="52" t="s">
        <v>100</v>
      </c>
      <c r="U4" s="19" t="s">
        <v>68</v>
      </c>
      <c r="V4" s="16" t="s">
        <v>79</v>
      </c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</row>
    <row r="5" spans="1:138" s="2" customFormat="1" ht="15">
      <c r="A5" s="6" t="s">
        <v>0</v>
      </c>
      <c r="B5" s="6">
        <f>H5+K5+O5+R5+U5</f>
        <v>795115</v>
      </c>
      <c r="C5" s="41">
        <f>(F5/D5)/(F12/D12)</f>
        <v>1.0816324477878425</v>
      </c>
      <c r="D5" s="48">
        <v>2441</v>
      </c>
      <c r="E5" s="2">
        <f>I5+L5+P5+S5</f>
        <v>250345384.62</v>
      </c>
      <c r="F5" s="7">
        <f>G5+J5+M5+Q5+U5</f>
        <v>246546.7585587191</v>
      </c>
      <c r="G5" s="15">
        <f>H5*(I5/I12)</f>
        <v>136777.73122410898</v>
      </c>
      <c r="H5" s="72">
        <v>413115</v>
      </c>
      <c r="I5" s="48">
        <v>158890384.62</v>
      </c>
      <c r="J5" s="15">
        <f>K5*(L5/L12)</f>
        <v>359.5505617977528</v>
      </c>
      <c r="K5" s="48">
        <v>2000</v>
      </c>
      <c r="L5" s="2">
        <v>64000</v>
      </c>
      <c r="M5" s="66">
        <f>N5+Q5</f>
        <v>55990.007006221334</v>
      </c>
      <c r="N5" s="15">
        <f>O5*(P5/P12)</f>
        <v>12570.537239630308</v>
      </c>
      <c r="O5" s="48">
        <v>60000</v>
      </c>
      <c r="P5" s="48">
        <v>59233000</v>
      </c>
      <c r="Q5" s="15">
        <f>R5*(S5/S12)</f>
        <v>43419.46976659103</v>
      </c>
      <c r="R5" s="48">
        <v>310000</v>
      </c>
      <c r="S5" s="48">
        <f>(23033+9125)*1000</f>
        <v>32158000</v>
      </c>
      <c r="T5" s="48">
        <v>10000</v>
      </c>
      <c r="U5" s="15">
        <v>10000</v>
      </c>
      <c r="V5" s="2">
        <v>275000</v>
      </c>
      <c r="W5" s="23">
        <f>G5+J5+M5+U5</f>
        <v>203127.28879212806</v>
      </c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</row>
    <row r="6" spans="1:138" s="2" customFormat="1" ht="15">
      <c r="A6" s="6" t="s">
        <v>1</v>
      </c>
      <c r="B6" s="6">
        <f aca="true" t="shared" si="0" ref="B6:B12">H6+K6+O6+R6+U6</f>
        <v>1198710.588476</v>
      </c>
      <c r="C6" s="41">
        <f>(F6/D6)/(F12/D12)</f>
        <v>1.9495770379266444</v>
      </c>
      <c r="D6" s="48">
        <v>3465</v>
      </c>
      <c r="E6" s="2">
        <f aca="true" t="shared" si="1" ref="E6:E11">I6+L6+P6+S6</f>
        <v>405247303.26</v>
      </c>
      <c r="F6" s="7">
        <f aca="true" t="shared" si="2" ref="F6:F11">G6+J6+M6+Q6+U6</f>
        <v>630805.4698736427</v>
      </c>
      <c r="G6" s="15">
        <f>H6*(I6/I12)</f>
        <v>287281.29176356585</v>
      </c>
      <c r="H6" s="72">
        <f aca="true" t="shared" si="3" ref="H6:H11">(I6*13%)*2%</f>
        <v>598710.588476</v>
      </c>
      <c r="I6" s="48">
        <v>230273303.26</v>
      </c>
      <c r="J6" s="15">
        <f>K6*(L6/L12)</f>
        <v>10533.707865168539</v>
      </c>
      <c r="K6" s="48">
        <v>50000</v>
      </c>
      <c r="L6" s="2">
        <v>75000</v>
      </c>
      <c r="M6" s="66">
        <f aca="true" t="shared" si="4" ref="M6:M11">N6+Q6</f>
        <v>183980.90130454756</v>
      </c>
      <c r="N6" s="15">
        <f>O6*(P6/P12)</f>
        <v>34971.332364186856</v>
      </c>
      <c r="O6" s="48">
        <v>100000</v>
      </c>
      <c r="P6" s="48">
        <v>98872000</v>
      </c>
      <c r="Q6" s="15">
        <f>R6*(S6/S12)</f>
        <v>149009.5689403607</v>
      </c>
      <c r="R6" s="48">
        <v>450000</v>
      </c>
      <c r="S6" s="48">
        <f>(46202+29825)*1000</f>
        <v>76027000</v>
      </c>
      <c r="T6" s="48">
        <f aca="true" t="shared" si="5" ref="T6:T11">U6</f>
        <v>0</v>
      </c>
      <c r="U6" s="15">
        <v>0</v>
      </c>
      <c r="V6" s="2">
        <v>150000</v>
      </c>
      <c r="W6" s="23">
        <f aca="true" t="shared" si="6" ref="W6:W12">G6+J6+M6+U6</f>
        <v>481795.9009332819</v>
      </c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</row>
    <row r="7" spans="1:138" s="2" customFormat="1" ht="15">
      <c r="A7" s="6" t="s">
        <v>2</v>
      </c>
      <c r="B7" s="6">
        <f t="shared" si="0"/>
        <v>147915.720304</v>
      </c>
      <c r="C7" s="41">
        <f>(F7/D7)/(F12/D12)</f>
        <v>0.17887514780053693</v>
      </c>
      <c r="D7" s="48">
        <v>1012</v>
      </c>
      <c r="E7" s="2">
        <f t="shared" si="1"/>
        <v>53951277.04</v>
      </c>
      <c r="F7" s="7">
        <f t="shared" si="2"/>
        <v>16903.72149266676</v>
      </c>
      <c r="G7" s="15">
        <f>H7*(I7/I12)</f>
        <v>1616.8517633667707</v>
      </c>
      <c r="H7" s="72">
        <f t="shared" si="3"/>
        <v>44915.720303999995</v>
      </c>
      <c r="I7" s="48">
        <v>17275277.04</v>
      </c>
      <c r="J7" s="15">
        <f>K7*(L7/L12)</f>
        <v>171.34831460674158</v>
      </c>
      <c r="K7" s="48">
        <v>1000</v>
      </c>
      <c r="L7" s="2">
        <v>61000</v>
      </c>
      <c r="M7" s="66">
        <f t="shared" si="4"/>
        <v>6112.193845082145</v>
      </c>
      <c r="N7" s="15">
        <f>O7*(P7/P12)</f>
        <v>2108.866275471044</v>
      </c>
      <c r="O7" s="48">
        <v>25000</v>
      </c>
      <c r="P7" s="48">
        <v>23849000</v>
      </c>
      <c r="Q7" s="15">
        <f>R7*(S7/S12)</f>
        <v>4003.327569611101</v>
      </c>
      <c r="R7" s="48">
        <v>72000</v>
      </c>
      <c r="S7" s="48">
        <f>(8900+3866)*1000</f>
        <v>12766000</v>
      </c>
      <c r="T7" s="48">
        <f t="shared" si="5"/>
        <v>5000</v>
      </c>
      <c r="U7" s="15">
        <v>5000</v>
      </c>
      <c r="V7" s="2">
        <v>274000</v>
      </c>
      <c r="W7" s="23">
        <f t="shared" si="6"/>
        <v>12900.393923055657</v>
      </c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</row>
    <row r="8" spans="1:138" s="2" customFormat="1" ht="15">
      <c r="A8" s="6" t="s">
        <v>3</v>
      </c>
      <c r="B8" s="6">
        <f t="shared" si="0"/>
        <v>177685.40248</v>
      </c>
      <c r="C8" s="41">
        <f>(F8/D8)/(F12/D12)</f>
        <v>0.20828349231388418</v>
      </c>
      <c r="D8" s="48">
        <v>1020</v>
      </c>
      <c r="E8" s="2">
        <f t="shared" si="1"/>
        <v>53374154.8</v>
      </c>
      <c r="F8" s="7">
        <f t="shared" si="2"/>
        <v>19838.40870389863</v>
      </c>
      <c r="G8" s="15">
        <f>H8*(I8/I12)</f>
        <v>1899.6386467609861</v>
      </c>
      <c r="H8" s="72">
        <f t="shared" si="3"/>
        <v>48685.402480000004</v>
      </c>
      <c r="I8" s="48">
        <v>18725154.8</v>
      </c>
      <c r="J8" s="15">
        <f>K8*(L8/L12)</f>
        <v>870.7865168539327</v>
      </c>
      <c r="K8" s="48">
        <v>5000</v>
      </c>
      <c r="L8" s="2">
        <v>62000</v>
      </c>
      <c r="M8" s="66">
        <f t="shared" si="4"/>
        <v>6942.202280075607</v>
      </c>
      <c r="N8" s="15">
        <f>O8*(P8/P12)</f>
        <v>1816.421019867503</v>
      </c>
      <c r="O8" s="48">
        <v>23000</v>
      </c>
      <c r="P8" s="48">
        <v>22328000</v>
      </c>
      <c r="Q8" s="15">
        <f>R8*(S8/S12)</f>
        <v>5125.781260208104</v>
      </c>
      <c r="R8" s="48">
        <v>96000</v>
      </c>
      <c r="S8" s="48">
        <f>(7187+5072)*1000</f>
        <v>12259000</v>
      </c>
      <c r="T8" s="48">
        <f t="shared" si="5"/>
        <v>5000</v>
      </c>
      <c r="U8" s="15">
        <v>5000</v>
      </c>
      <c r="V8" s="2">
        <v>20000</v>
      </c>
      <c r="W8" s="23">
        <f t="shared" si="6"/>
        <v>14712.627443690526</v>
      </c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</row>
    <row r="9" spans="1:138" s="2" customFormat="1" ht="15">
      <c r="A9" s="6" t="s">
        <v>4</v>
      </c>
      <c r="B9" s="6">
        <f t="shared" si="0"/>
        <v>238627.296064</v>
      </c>
      <c r="C9" s="41">
        <f>(F9/D9)/(F12/D12)</f>
        <v>1.4673861396771934</v>
      </c>
      <c r="D9" s="48">
        <v>639</v>
      </c>
      <c r="E9" s="2">
        <f t="shared" si="1"/>
        <v>79012344.64</v>
      </c>
      <c r="F9" s="7">
        <f t="shared" si="2"/>
        <v>87558.2516905225</v>
      </c>
      <c r="G9" s="15">
        <f>H9*(I9/I12)</f>
        <v>801.6736242771218</v>
      </c>
      <c r="H9" s="72">
        <f t="shared" si="3"/>
        <v>31627.296064000006</v>
      </c>
      <c r="I9" s="48">
        <v>12164344.64</v>
      </c>
      <c r="J9" s="15">
        <f>K9*(L9/L12)</f>
        <v>0</v>
      </c>
      <c r="K9" s="48">
        <v>0</v>
      </c>
      <c r="L9" s="2">
        <v>0</v>
      </c>
      <c r="M9" s="66">
        <f t="shared" si="4"/>
        <v>41381.57316635558</v>
      </c>
      <c r="N9" s="15">
        <f>O9*(P9/P12)</f>
        <v>1006.5682664657634</v>
      </c>
      <c r="O9" s="48">
        <v>17000</v>
      </c>
      <c r="P9" s="48">
        <v>16740000</v>
      </c>
      <c r="Q9" s="15">
        <f>R9*(S9/S12)</f>
        <v>40375.00489988981</v>
      </c>
      <c r="R9" s="48">
        <v>185000</v>
      </c>
      <c r="S9" s="48">
        <f>(41929+8179)*1000</f>
        <v>50108000</v>
      </c>
      <c r="T9" s="48">
        <f t="shared" si="5"/>
        <v>5000</v>
      </c>
      <c r="U9" s="15">
        <v>5000</v>
      </c>
      <c r="V9" s="2">
        <v>407000</v>
      </c>
      <c r="W9" s="23">
        <f t="shared" si="6"/>
        <v>47183.2467906327</v>
      </c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</row>
    <row r="10" spans="1:138" s="2" customFormat="1" ht="15">
      <c r="A10" s="6" t="s">
        <v>5</v>
      </c>
      <c r="B10" s="6">
        <f t="shared" si="0"/>
        <v>180337.33847000002</v>
      </c>
      <c r="C10" s="41">
        <f>(F10/D10)/(F12/D12)</f>
        <v>0.1531509913085959</v>
      </c>
      <c r="D10" s="48">
        <v>1647</v>
      </c>
      <c r="E10" s="2">
        <f t="shared" si="1"/>
        <v>77858360.95</v>
      </c>
      <c r="F10" s="7">
        <f>G10+J10+M10+Q10+U10</f>
        <v>23554.029893887662</v>
      </c>
      <c r="G10" s="15">
        <f>H10*(I10/I12)</f>
        <v>3526.870823993696</v>
      </c>
      <c r="H10" s="72">
        <f t="shared" si="3"/>
        <v>66337.33847</v>
      </c>
      <c r="I10" s="48">
        <v>25514360.95</v>
      </c>
      <c r="J10" s="15">
        <f>K10*(L10/L12)</f>
        <v>598.314606741573</v>
      </c>
      <c r="K10" s="48">
        <v>3000</v>
      </c>
      <c r="L10" s="2">
        <v>71000</v>
      </c>
      <c r="M10" s="66">
        <f t="shared" si="4"/>
        <v>9640.942182199244</v>
      </c>
      <c r="N10" s="15">
        <f>O10*(P10/P12)</f>
        <v>4853.039901246096</v>
      </c>
      <c r="O10" s="48">
        <v>38000</v>
      </c>
      <c r="P10" s="48">
        <v>36107000</v>
      </c>
      <c r="Q10" s="15">
        <f>R10*(S10/S12)</f>
        <v>4787.902280953149</v>
      </c>
      <c r="R10" s="48">
        <v>68000</v>
      </c>
      <c r="S10" s="48">
        <f>(9572+6594)*1000</f>
        <v>16166000</v>
      </c>
      <c r="T10" s="48">
        <f t="shared" si="5"/>
        <v>5000</v>
      </c>
      <c r="U10" s="15">
        <v>5000</v>
      </c>
      <c r="V10" s="2">
        <v>80000</v>
      </c>
      <c r="W10" s="23">
        <f t="shared" si="6"/>
        <v>18766.127612934513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</row>
    <row r="11" spans="1:138" s="2" customFormat="1" ht="15.75" thickBot="1">
      <c r="A11" s="6" t="s">
        <v>6</v>
      </c>
      <c r="B11" s="6">
        <f t="shared" si="0"/>
        <v>183355.650014</v>
      </c>
      <c r="C11" s="41">
        <f>(F11/D11)/(F12/D12)</f>
        <v>0.3360426744597746</v>
      </c>
      <c r="D11" s="61">
        <v>1137</v>
      </c>
      <c r="E11" s="2">
        <f t="shared" si="1"/>
        <v>72789865.39</v>
      </c>
      <c r="F11" s="55">
        <f t="shared" si="2"/>
        <v>35678.50987767116</v>
      </c>
      <c r="G11" s="15">
        <f>H11*(I11/I12)</f>
        <v>1576.7809457809979</v>
      </c>
      <c r="H11" s="72">
        <f t="shared" si="3"/>
        <v>44355.650014000006</v>
      </c>
      <c r="I11" s="48">
        <v>17059865.39</v>
      </c>
      <c r="J11" s="15">
        <f>K11*(L11/L12)</f>
        <v>516.8539325842697</v>
      </c>
      <c r="K11" s="48">
        <v>8000</v>
      </c>
      <c r="L11" s="2">
        <v>23000</v>
      </c>
      <c r="M11" s="66">
        <f t="shared" si="4"/>
        <v>15469.285509896188</v>
      </c>
      <c r="N11" s="15">
        <f>O11*(P11/P12)</f>
        <v>2353.6960204864836</v>
      </c>
      <c r="O11" s="48">
        <v>26000</v>
      </c>
      <c r="P11" s="48">
        <v>25594000</v>
      </c>
      <c r="Q11" s="15">
        <f>R11*(S11/S12)</f>
        <v>13115.589489409704</v>
      </c>
      <c r="R11" s="48">
        <v>100000</v>
      </c>
      <c r="S11" s="48">
        <f>(25994+4119)*1000</f>
        <v>30113000</v>
      </c>
      <c r="T11" s="48">
        <f t="shared" si="5"/>
        <v>5000</v>
      </c>
      <c r="U11" s="15">
        <v>5000</v>
      </c>
      <c r="V11" s="2">
        <v>756000</v>
      </c>
      <c r="W11" s="23">
        <f t="shared" si="6"/>
        <v>22562.920388261457</v>
      </c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</row>
    <row r="12" spans="1:138" s="39" customFormat="1" ht="15.75" thickBot="1">
      <c r="A12" s="5"/>
      <c r="B12" s="9">
        <f t="shared" si="0"/>
        <v>2921746.995808</v>
      </c>
      <c r="C12" s="59"/>
      <c r="D12" s="62">
        <f aca="true" t="shared" si="7" ref="D12:Q12">D5+D6+D7+D8+D9+D10+D11</f>
        <v>11361</v>
      </c>
      <c r="E12" s="60">
        <f>E5+E6+E7+E8+E9+E10+E11</f>
        <v>992578690.6999999</v>
      </c>
      <c r="F12" s="56">
        <f t="shared" si="7"/>
        <v>1060885.1500910085</v>
      </c>
      <c r="G12" s="54">
        <f>G5+G6+G7+G8+G9+G10+G11</f>
        <v>433480.8387918544</v>
      </c>
      <c r="H12" s="40">
        <f t="shared" si="7"/>
        <v>1247746.9958080002</v>
      </c>
      <c r="I12" s="5">
        <f t="shared" si="7"/>
        <v>479902690.7</v>
      </c>
      <c r="J12" s="5">
        <f t="shared" si="7"/>
        <v>13050.561797752807</v>
      </c>
      <c r="K12" s="5">
        <f t="shared" si="7"/>
        <v>69000</v>
      </c>
      <c r="L12" s="5">
        <f t="shared" si="7"/>
        <v>356000</v>
      </c>
      <c r="M12" s="67">
        <f t="shared" si="7"/>
        <v>319517.1052943776</v>
      </c>
      <c r="N12" s="5">
        <f t="shared" si="7"/>
        <v>59680.46108735406</v>
      </c>
      <c r="O12" s="5">
        <f t="shared" si="7"/>
        <v>289000</v>
      </c>
      <c r="P12" s="5">
        <f t="shared" si="7"/>
        <v>282723000</v>
      </c>
      <c r="Q12" s="5">
        <f t="shared" si="7"/>
        <v>259836.64420702364</v>
      </c>
      <c r="R12" s="5">
        <f>R5+R6+R7+R8+R9+R10+R11</f>
        <v>1281000</v>
      </c>
      <c r="S12" s="5">
        <f>S5+S6+S7+S8+S9+S10+S11</f>
        <v>229597000</v>
      </c>
      <c r="T12" s="5">
        <f>T5+T6+T7+T8+T9+T10+T11</f>
        <v>35000</v>
      </c>
      <c r="U12" s="5">
        <f>U5+U6+U7+U8+U9+U10+U11</f>
        <v>35000</v>
      </c>
      <c r="V12" s="5">
        <f>V5+V6+V7+V8+V9+V10+V11</f>
        <v>1962000</v>
      </c>
      <c r="W12" s="23">
        <f t="shared" si="6"/>
        <v>801048.5058839847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</row>
    <row r="13" spans="4:138" s="14" customFormat="1" ht="19.5" thickBot="1">
      <c r="D13" s="63" t="s">
        <v>34</v>
      </c>
      <c r="F13" s="57" t="s">
        <v>56</v>
      </c>
      <c r="G13" s="68"/>
      <c r="T13" s="68">
        <v>4</v>
      </c>
      <c r="U13" s="68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</row>
    <row r="14" spans="6:138" ht="51.75" customHeight="1" thickBot="1">
      <c r="F14" s="58" t="s">
        <v>57</v>
      </c>
      <c r="H14" s="1" t="s">
        <v>54</v>
      </c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</row>
    <row r="15" spans="6:138" ht="15">
      <c r="F15" s="52">
        <v>2</v>
      </c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</row>
    <row r="16" spans="23:138" ht="15"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</row>
    <row r="17" spans="5:138" ht="15">
      <c r="E17" s="1" t="s">
        <v>54</v>
      </c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</row>
    <row r="18" spans="23:138" ht="15"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</row>
    <row r="19" spans="23:138" ht="15"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</row>
    <row r="20" spans="23:138" ht="15"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</row>
    <row r="21" spans="23:138" ht="15"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</row>
    <row r="22" spans="23:138" ht="15"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</row>
    <row r="23" spans="23:138" ht="15"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</row>
    <row r="24" spans="23:138" ht="15"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</row>
    <row r="25" spans="23:138" ht="15"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</row>
    <row r="26" spans="23:138" ht="15"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</row>
    <row r="27" spans="23:138" ht="15"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</row>
    <row r="28" spans="23:138" ht="15"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</row>
    <row r="29" spans="23:138" ht="15"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</row>
    <row r="30" spans="23:138" ht="15"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</row>
    <row r="31" spans="23:138" ht="15"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</row>
    <row r="32" spans="23:138" ht="15"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</row>
    <row r="33" spans="23:138" ht="15"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</row>
    <row r="34" spans="23:138" ht="15"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</row>
    <row r="35" spans="23:138" ht="15"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</row>
    <row r="36" spans="23:138" ht="15"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</row>
    <row r="37" spans="23:138" ht="15"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</row>
    <row r="38" spans="23:138" ht="15"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</row>
    <row r="39" spans="23:138" ht="15"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</row>
    <row r="40" spans="23:138" ht="15"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</row>
    <row r="41" spans="23:138" ht="15"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</row>
    <row r="42" spans="23:138" ht="15"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</row>
    <row r="43" spans="23:138" ht="15"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</row>
    <row r="44" spans="23:138" ht="15"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</row>
    <row r="45" spans="23:138" ht="15"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</row>
    <row r="46" spans="23:138" ht="15"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</row>
    <row r="47" spans="23:138" ht="15"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</row>
    <row r="48" spans="23:138" ht="15"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</row>
    <row r="49" spans="23:138" ht="15"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</row>
    <row r="50" spans="23:138" ht="15"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</row>
    <row r="51" spans="23:138" ht="15"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</row>
    <row r="52" spans="23:138" ht="15"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</row>
    <row r="53" spans="23:138" ht="15"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</row>
    <row r="54" spans="23:138" ht="15"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</row>
    <row r="55" spans="23:138" ht="15"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</row>
    <row r="56" spans="23:138" ht="15"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</row>
    <row r="57" spans="23:138" ht="15"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</row>
    <row r="58" spans="23:138" ht="15"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</row>
    <row r="59" spans="23:138" ht="15"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</row>
    <row r="60" spans="23:138" ht="15"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</row>
    <row r="61" spans="23:138" ht="15"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</row>
    <row r="62" spans="23:138" ht="15"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</row>
    <row r="63" spans="23:138" ht="15"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</row>
    <row r="64" spans="23:138" ht="15"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</row>
    <row r="65" spans="23:138" ht="15"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</row>
    <row r="66" spans="23:138" ht="15"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</row>
    <row r="67" spans="23:138" ht="15"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</row>
    <row r="68" spans="23:138" ht="15"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</row>
    <row r="69" spans="23:138" ht="15"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</row>
    <row r="70" spans="23:138" ht="15"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</row>
    <row r="71" spans="23:138" ht="15"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</row>
    <row r="72" spans="23:138" ht="15"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</row>
    <row r="73" spans="23:138" ht="15"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</row>
    <row r="74" spans="23:138" ht="15"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</row>
    <row r="75" spans="23:138" ht="15"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23:138" ht="15"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23:138" ht="15"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23:138" ht="15"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23:138" ht="15"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23:138" ht="15"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23:138" ht="15"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23:138" ht="15"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23:138" ht="15"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</sheetData>
  <sheetProtection/>
  <mergeCells count="5">
    <mergeCell ref="A1:F1"/>
    <mergeCell ref="G3:G4"/>
    <mergeCell ref="J3:J4"/>
    <mergeCell ref="N3:N4"/>
    <mergeCell ref="Q3: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5"/>
  <sheetViews>
    <sheetView zoomScalePageLayoutView="0" workbookViewId="0" topLeftCell="A1">
      <pane xSplit="1" topLeftCell="R1" activePane="topRight" state="frozen"/>
      <selection pane="topLeft" activeCell="A1" sqref="A1"/>
      <selection pane="topRight" activeCell="A1" sqref="A1:AB13"/>
    </sheetView>
  </sheetViews>
  <sheetFormatPr defaultColWidth="9.140625" defaultRowHeight="15"/>
  <cols>
    <col min="1" max="1" width="11.00390625" style="1" customWidth="1"/>
    <col min="2" max="2" width="12.28125" style="1" customWidth="1"/>
    <col min="3" max="4" width="16.57421875" style="1" hidden="1" customWidth="1"/>
    <col min="5" max="5" width="8.7109375" style="1" customWidth="1"/>
    <col min="6" max="6" width="8.28125" style="1" customWidth="1"/>
    <col min="7" max="7" width="9.00390625" style="1" customWidth="1"/>
    <col min="8" max="8" width="14.28125" style="1" customWidth="1"/>
    <col min="9" max="9" width="18.7109375" style="1" customWidth="1"/>
    <col min="10" max="10" width="9.140625" style="1" customWidth="1"/>
    <col min="11" max="11" width="15.00390625" style="1" customWidth="1"/>
    <col min="12" max="12" width="13.8515625" style="1" customWidth="1"/>
    <col min="13" max="13" width="12.7109375" style="1" customWidth="1"/>
    <col min="14" max="14" width="14.00390625" style="1" customWidth="1"/>
    <col min="15" max="15" width="12.140625" style="1" customWidth="1"/>
    <col min="16" max="16" width="12.28125" style="14" customWidth="1"/>
    <col min="17" max="18" width="10.28125" style="1" customWidth="1"/>
    <col min="19" max="20" width="16.57421875" style="1" hidden="1" customWidth="1"/>
    <col min="21" max="21" width="12.421875" style="1" customWidth="1"/>
    <col min="22" max="22" width="10.140625" style="1" customWidth="1"/>
    <col min="23" max="23" width="8.7109375" style="1" customWidth="1"/>
    <col min="24" max="24" width="16.57421875" style="1" hidden="1" customWidth="1"/>
    <col min="25" max="25" width="13.7109375" style="1" hidden="1" customWidth="1"/>
    <col min="26" max="26" width="11.7109375" style="1" customWidth="1"/>
    <col min="27" max="27" width="9.140625" style="1" customWidth="1"/>
    <col min="28" max="28" width="7.57421875" style="1" customWidth="1"/>
    <col min="29" max="30" width="9.140625" style="1" hidden="1" customWidth="1"/>
    <col min="31" max="31" width="0.13671875" style="1" hidden="1" customWidth="1"/>
    <col min="32" max="34" width="9.140625" style="1" hidden="1" customWidth="1"/>
    <col min="35" max="16384" width="9.140625" style="1" customWidth="1"/>
  </cols>
  <sheetData>
    <row r="2" spans="1:14" ht="23.25">
      <c r="A2" s="96" t="s">
        <v>93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4" spans="1:34" ht="228.75" customHeight="1">
      <c r="A4" s="2"/>
      <c r="B4" s="8" t="s">
        <v>51</v>
      </c>
      <c r="C4" s="4"/>
      <c r="D4" s="4"/>
      <c r="E4" s="3" t="s">
        <v>43</v>
      </c>
      <c r="F4" s="4" t="s">
        <v>46</v>
      </c>
      <c r="G4" s="4" t="s">
        <v>48</v>
      </c>
      <c r="H4" s="4" t="s">
        <v>49</v>
      </c>
      <c r="I4" s="3" t="s">
        <v>41</v>
      </c>
      <c r="J4" s="4" t="s">
        <v>84</v>
      </c>
      <c r="K4" s="4" t="s">
        <v>85</v>
      </c>
      <c r="L4" s="4" t="s">
        <v>86</v>
      </c>
      <c r="M4" s="3" t="s">
        <v>24</v>
      </c>
      <c r="N4" s="4" t="s">
        <v>27</v>
      </c>
      <c r="O4" s="4" t="s">
        <v>28</v>
      </c>
      <c r="P4" s="3" t="s">
        <v>109</v>
      </c>
      <c r="Q4" s="4" t="s">
        <v>20</v>
      </c>
      <c r="R4" s="4" t="s">
        <v>16</v>
      </c>
      <c r="S4" s="4" t="s">
        <v>22</v>
      </c>
      <c r="T4" s="4" t="s">
        <v>23</v>
      </c>
      <c r="U4" s="3" t="s">
        <v>12</v>
      </c>
      <c r="V4" s="4" t="s">
        <v>13</v>
      </c>
      <c r="W4" s="4" t="s">
        <v>16</v>
      </c>
      <c r="X4" s="4" t="s">
        <v>18</v>
      </c>
      <c r="Y4" s="4" t="s">
        <v>19</v>
      </c>
      <c r="Z4" s="3" t="s">
        <v>7</v>
      </c>
      <c r="AA4" s="4" t="s">
        <v>8</v>
      </c>
      <c r="AB4" s="4" t="s">
        <v>9</v>
      </c>
      <c r="AC4" s="4" t="s">
        <v>10</v>
      </c>
      <c r="AD4" s="4" t="s">
        <v>11</v>
      </c>
      <c r="AE4" s="4"/>
      <c r="AF4" s="4"/>
      <c r="AG4" s="4"/>
      <c r="AH4" s="4"/>
    </row>
    <row r="5" spans="1:256" s="14" customFormat="1" ht="27.75" customHeight="1">
      <c r="A5" s="13"/>
      <c r="B5" s="10" t="s">
        <v>52</v>
      </c>
      <c r="C5" s="13"/>
      <c r="D5" s="13"/>
      <c r="E5" s="10" t="s">
        <v>44</v>
      </c>
      <c r="F5" s="13" t="s">
        <v>45</v>
      </c>
      <c r="G5" s="13" t="s">
        <v>47</v>
      </c>
      <c r="H5" s="13" t="s">
        <v>50</v>
      </c>
      <c r="I5" s="10" t="s">
        <v>42</v>
      </c>
      <c r="J5" s="13" t="s">
        <v>81</v>
      </c>
      <c r="K5" s="13" t="s">
        <v>82</v>
      </c>
      <c r="L5" s="13" t="s">
        <v>83</v>
      </c>
      <c r="M5" s="10" t="s">
        <v>25</v>
      </c>
      <c r="N5" s="13" t="s">
        <v>26</v>
      </c>
      <c r="O5" s="13" t="s">
        <v>29</v>
      </c>
      <c r="P5" s="10" t="s">
        <v>30</v>
      </c>
      <c r="Q5" s="13" t="s">
        <v>31</v>
      </c>
      <c r="R5" s="13" t="s">
        <v>32</v>
      </c>
      <c r="S5" s="13" t="s">
        <v>33</v>
      </c>
      <c r="T5" s="13" t="s">
        <v>34</v>
      </c>
      <c r="U5" s="10" t="s">
        <v>14</v>
      </c>
      <c r="V5" s="13" t="s">
        <v>35</v>
      </c>
      <c r="W5" s="13" t="s">
        <v>32</v>
      </c>
      <c r="X5" s="13" t="s">
        <v>17</v>
      </c>
      <c r="Y5" s="13" t="s">
        <v>36</v>
      </c>
      <c r="Z5" s="11" t="s">
        <v>15</v>
      </c>
      <c r="AA5" s="13" t="s">
        <v>37</v>
      </c>
      <c r="AB5" s="13" t="s">
        <v>38</v>
      </c>
      <c r="AC5" s="13" t="s">
        <v>39</v>
      </c>
      <c r="AD5" s="13" t="s">
        <v>40</v>
      </c>
      <c r="AE5" s="13"/>
      <c r="AF5" s="13"/>
      <c r="AG5" s="13"/>
      <c r="AH5" s="34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</row>
    <row r="6" spans="1:256" s="2" customFormat="1" ht="15">
      <c r="A6" s="6" t="s">
        <v>0</v>
      </c>
      <c r="B6" s="45">
        <v>0.5708023161703336</v>
      </c>
      <c r="C6" s="6"/>
      <c r="D6" s="6"/>
      <c r="E6" s="42">
        <f aca="true" t="shared" si="0" ref="E6:E13">(F6*G6+H6)/H6</f>
        <v>1.704300501547327</v>
      </c>
      <c r="F6" s="49">
        <v>55</v>
      </c>
      <c r="G6" s="49">
        <v>120</v>
      </c>
      <c r="H6" s="49">
        <v>9371</v>
      </c>
      <c r="I6" s="45">
        <f>J13*M6+K13*P6+L13*U6*Z6</f>
        <v>0.7116025373930356</v>
      </c>
      <c r="J6" s="6"/>
      <c r="K6" s="6"/>
      <c r="L6" s="6"/>
      <c r="M6" s="12">
        <f>(1-0.29)+0.29*$O$13/W6</f>
        <v>0.902818517001229</v>
      </c>
      <c r="N6" s="53">
        <f>R6/R13</f>
        <v>0.21485784702050875</v>
      </c>
      <c r="O6" s="33"/>
      <c r="P6" s="12">
        <f>(Q6/R6)/(Q13/R13)</f>
        <v>0.6699448690063242</v>
      </c>
      <c r="Q6" s="6">
        <v>18473</v>
      </c>
      <c r="R6" s="48">
        <v>2441</v>
      </c>
      <c r="S6" s="6"/>
      <c r="T6" s="6"/>
      <c r="U6" s="51">
        <v>0.2</v>
      </c>
      <c r="V6" s="49">
        <v>34</v>
      </c>
      <c r="W6" s="48">
        <v>2441</v>
      </c>
      <c r="X6" s="6"/>
      <c r="Z6" s="50">
        <f>(1+AA6/AB6)/(1+AA13/AB13)</f>
        <v>0.6842105263157894</v>
      </c>
      <c r="AA6" s="48">
        <v>0</v>
      </c>
      <c r="AB6" s="48">
        <v>1</v>
      </c>
      <c r="AH6" s="20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</row>
    <row r="7" spans="1:256" s="2" customFormat="1" ht="15">
      <c r="A7" s="6" t="s">
        <v>1</v>
      </c>
      <c r="B7" s="45">
        <v>0.662514989518779</v>
      </c>
      <c r="C7" s="6"/>
      <c r="D7" s="6"/>
      <c r="E7" s="42">
        <f t="shared" si="0"/>
        <v>1.0025610927328994</v>
      </c>
      <c r="F7" s="49">
        <v>0.2</v>
      </c>
      <c r="G7" s="49">
        <v>120</v>
      </c>
      <c r="H7" s="49">
        <v>9371</v>
      </c>
      <c r="I7" s="45">
        <f>J13*M7+K13*P7+L13*U7*Z7</f>
        <v>0.8048483610456333</v>
      </c>
      <c r="J7" s="6"/>
      <c r="K7" s="6"/>
      <c r="L7" s="6"/>
      <c r="M7" s="12">
        <f aca="true" t="shared" si="1" ref="M7:M13">(1-0.29)+0.29*$O$13/W7</f>
        <v>0.8458354978354978</v>
      </c>
      <c r="N7" s="45">
        <f>R7/R13</f>
        <v>0.3049907578558225</v>
      </c>
      <c r="O7" s="33"/>
      <c r="P7" s="12">
        <f>(Q7/R7)/(Q13/R13)</f>
        <v>0.9978543845317679</v>
      </c>
      <c r="Q7" s="6">
        <v>39057.19</v>
      </c>
      <c r="R7" s="48">
        <v>3465</v>
      </c>
      <c r="S7" s="6"/>
      <c r="T7" s="6"/>
      <c r="U7" s="51">
        <v>0.2</v>
      </c>
      <c r="V7" s="49">
        <v>447</v>
      </c>
      <c r="W7" s="48">
        <v>3465</v>
      </c>
      <c r="X7" s="6"/>
      <c r="Z7" s="50">
        <f>(1+AA7/AB7)/(1+AA13/AB13)</f>
        <v>0.6842105263157894</v>
      </c>
      <c r="AA7" s="48">
        <v>0</v>
      </c>
      <c r="AB7" s="48">
        <v>1</v>
      </c>
      <c r="AH7" s="20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</row>
    <row r="8" spans="1:256" s="2" customFormat="1" ht="15">
      <c r="A8" s="6" t="s">
        <v>2</v>
      </c>
      <c r="B8" s="45">
        <v>1.6255893170631996</v>
      </c>
      <c r="C8" s="6"/>
      <c r="D8" s="6"/>
      <c r="E8" s="42">
        <f t="shared" si="0"/>
        <v>1.3841639099349055</v>
      </c>
      <c r="F8" s="49">
        <v>30</v>
      </c>
      <c r="G8" s="49">
        <v>120</v>
      </c>
      <c r="H8" s="49">
        <v>9371</v>
      </c>
      <c r="I8" s="45">
        <f>J13*M8+K13*P8+L13*U8*Z8</f>
        <v>1.9889905972984208</v>
      </c>
      <c r="J8" s="6"/>
      <c r="K8" s="6"/>
      <c r="L8" s="6"/>
      <c r="M8" s="12">
        <f t="shared" si="1"/>
        <v>1.175088932806324</v>
      </c>
      <c r="N8" s="53">
        <f>R8/R13</f>
        <v>0.08907666578646246</v>
      </c>
      <c r="O8" s="33"/>
      <c r="P8" s="12">
        <f>(Q8/R8)/(Q13/R13)</f>
        <v>1.0987098965863549</v>
      </c>
      <c r="Q8" s="6">
        <v>12560.13</v>
      </c>
      <c r="R8" s="48">
        <v>1012</v>
      </c>
      <c r="S8" s="6"/>
      <c r="T8" s="6"/>
      <c r="U8" s="51">
        <v>2</v>
      </c>
      <c r="V8" s="49">
        <v>7509</v>
      </c>
      <c r="W8" s="48">
        <v>1012</v>
      </c>
      <c r="X8" s="6"/>
      <c r="Z8" s="50">
        <f>(1+AA8/AB8)/(1+AA13/AB13)</f>
        <v>1.026315789473684</v>
      </c>
      <c r="AA8" s="48">
        <v>1</v>
      </c>
      <c r="AB8" s="48">
        <v>2</v>
      </c>
      <c r="AH8" s="2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" customFormat="1" ht="15">
      <c r="A9" s="6" t="s">
        <v>3</v>
      </c>
      <c r="B9" s="45">
        <v>0.897655712410274</v>
      </c>
      <c r="C9" s="6"/>
      <c r="D9" s="6"/>
      <c r="E9" s="42">
        <f t="shared" si="0"/>
        <v>1.0384163909934905</v>
      </c>
      <c r="F9" s="49">
        <v>3</v>
      </c>
      <c r="G9" s="49">
        <v>120</v>
      </c>
      <c r="H9" s="49">
        <v>9371</v>
      </c>
      <c r="I9" s="45">
        <f>J13*M9+K13*P9+L13*U9*Z9</f>
        <v>1.1248481320862636</v>
      </c>
      <c r="J9" s="6"/>
      <c r="K9" s="6"/>
      <c r="L9" s="6"/>
      <c r="M9" s="12">
        <f t="shared" si="1"/>
        <v>1.171441176470588</v>
      </c>
      <c r="N9" s="53">
        <f>R9/R13</f>
        <v>0.08978082915236335</v>
      </c>
      <c r="O9" s="33"/>
      <c r="P9" s="12">
        <f>(Q9/R9)/(Q13/R13)</f>
        <v>1.0074572861631352</v>
      </c>
      <c r="Q9" s="6">
        <v>11608</v>
      </c>
      <c r="R9" s="48">
        <v>1020</v>
      </c>
      <c r="S9" s="6"/>
      <c r="T9" s="6"/>
      <c r="U9" s="51">
        <f>(V9/W9)/(V13/W13)</f>
        <v>0.4553410424180871</v>
      </c>
      <c r="V9" s="49">
        <v>752</v>
      </c>
      <c r="W9" s="48">
        <v>1020</v>
      </c>
      <c r="X9" s="6"/>
      <c r="Z9" s="50">
        <f>(1+AA9/AB9)/(1+AA13/AB13)</f>
        <v>1.026315789473684</v>
      </c>
      <c r="AA9" s="48">
        <v>1</v>
      </c>
      <c r="AB9" s="48">
        <v>2</v>
      </c>
      <c r="AH9" s="20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" customFormat="1" ht="15">
      <c r="A10" s="6" t="s">
        <v>4</v>
      </c>
      <c r="B10" s="45">
        <v>1.2120056690183025</v>
      </c>
      <c r="C10" s="6"/>
      <c r="D10" s="6"/>
      <c r="E10" s="42">
        <f t="shared" si="0"/>
        <v>1.857966065521289</v>
      </c>
      <c r="F10" s="49">
        <v>67</v>
      </c>
      <c r="G10" s="49">
        <v>120</v>
      </c>
      <c r="H10" s="49">
        <v>9371</v>
      </c>
      <c r="I10" s="45">
        <f>J13*M10+K13*P10+L13*U10*Z10</f>
        <v>1.5144224925201115</v>
      </c>
      <c r="J10" s="6"/>
      <c r="K10" s="6"/>
      <c r="L10" s="6"/>
      <c r="M10" s="12">
        <f t="shared" si="1"/>
        <v>1.4465727699530515</v>
      </c>
      <c r="N10" s="53">
        <f>R10/R13</f>
        <v>0.05624504885133351</v>
      </c>
      <c r="O10" s="33"/>
      <c r="P10" s="12">
        <f>(Q10/R10)/(Q13/R13)</f>
        <v>1.2555272994849027</v>
      </c>
      <c r="Q10" s="6">
        <v>9062.7</v>
      </c>
      <c r="R10" s="48">
        <v>639</v>
      </c>
      <c r="S10" s="6"/>
      <c r="T10" s="6"/>
      <c r="U10" s="51">
        <f>(V10/W10)/(V13/W13)</f>
        <v>1.182074170027276</v>
      </c>
      <c r="V10" s="49">
        <v>1223</v>
      </c>
      <c r="W10" s="48">
        <v>639</v>
      </c>
      <c r="X10" s="6"/>
      <c r="Z10" s="50">
        <f>(1+AA10/AB10)/(1+AA13/AB13)</f>
        <v>0.6842105263157894</v>
      </c>
      <c r="AA10" s="48">
        <v>0</v>
      </c>
      <c r="AB10" s="48">
        <v>1</v>
      </c>
      <c r="AH10" s="20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2" customFormat="1" ht="15">
      <c r="A11" s="6" t="s">
        <v>5</v>
      </c>
      <c r="B11" s="45">
        <v>1.417025799098326</v>
      </c>
      <c r="C11" s="6"/>
      <c r="D11" s="6"/>
      <c r="E11" s="42">
        <f t="shared" si="0"/>
        <v>1.2176928822964466</v>
      </c>
      <c r="F11" s="49">
        <v>17</v>
      </c>
      <c r="G11" s="49">
        <v>120</v>
      </c>
      <c r="H11" s="49">
        <v>9371</v>
      </c>
      <c r="I11" s="45">
        <f>J13*M11+K13*P11+L13*U11*Z11</f>
        <v>1.7785052372909254</v>
      </c>
      <c r="J11" s="6"/>
      <c r="K11" s="6"/>
      <c r="L11" s="6"/>
      <c r="M11" s="12">
        <f t="shared" si="1"/>
        <v>0.9957741347905282</v>
      </c>
      <c r="N11" s="53">
        <f>R11/R13</f>
        <v>0.14496963295484552</v>
      </c>
      <c r="O11" s="33"/>
      <c r="P11" s="12">
        <f>(Q11/R11)/(Q13/R13)</f>
        <v>1.3352170925534035</v>
      </c>
      <c r="Q11" s="6">
        <v>24841.4</v>
      </c>
      <c r="R11" s="48">
        <v>1647</v>
      </c>
      <c r="S11" s="6"/>
      <c r="T11" s="6"/>
      <c r="U11" s="51">
        <f>(V11/W11)/(V13/W13)</f>
        <v>1.596353907431042</v>
      </c>
      <c r="V11" s="49">
        <v>4257</v>
      </c>
      <c r="W11" s="48">
        <v>1647</v>
      </c>
      <c r="X11" s="6"/>
      <c r="Z11" s="50">
        <f>(1+AA11/AB11)/(1+AA13/AB13)</f>
        <v>1.026315789473684</v>
      </c>
      <c r="AA11" s="48">
        <v>1</v>
      </c>
      <c r="AB11" s="48">
        <v>2</v>
      </c>
      <c r="AH11" s="20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" customFormat="1" ht="15">
      <c r="A12" s="6" t="s">
        <v>6</v>
      </c>
      <c r="B12" s="45">
        <v>1.7859801815304992</v>
      </c>
      <c r="C12" s="6"/>
      <c r="D12" s="6"/>
      <c r="E12" s="42">
        <f t="shared" si="0"/>
        <v>2.5878774943976097</v>
      </c>
      <c r="F12" s="49">
        <v>124</v>
      </c>
      <c r="G12" s="49">
        <v>120</v>
      </c>
      <c r="H12" s="49">
        <v>9371</v>
      </c>
      <c r="I12" s="45">
        <f>J13*M12+K13*P12+L13*U12*Z12</f>
        <v>2.1067240286493</v>
      </c>
      <c r="J12" s="6"/>
      <c r="K12" s="6"/>
      <c r="L12" s="6"/>
      <c r="M12" s="12">
        <f t="shared" si="1"/>
        <v>1.123957783641161</v>
      </c>
      <c r="N12" s="53">
        <f>R12/R13</f>
        <v>0.10007921837866385</v>
      </c>
      <c r="O12" s="33"/>
      <c r="P12" s="12">
        <f>(Q12/R12)/(Q13/R13)</f>
        <v>0.9913929545425594</v>
      </c>
      <c r="Q12" s="6">
        <v>12733.18</v>
      </c>
      <c r="R12" s="61">
        <v>1137</v>
      </c>
      <c r="S12" s="6"/>
      <c r="T12" s="6"/>
      <c r="U12" s="51">
        <v>2</v>
      </c>
      <c r="V12" s="49">
        <v>4172.9</v>
      </c>
      <c r="W12" s="61">
        <v>1137</v>
      </c>
      <c r="Z12" s="50">
        <f>(1+AA12/AB12)/(1+AA13/AB13)</f>
        <v>1.1973684210526314</v>
      </c>
      <c r="AA12" s="48">
        <v>3</v>
      </c>
      <c r="AB12" s="48">
        <v>4</v>
      </c>
      <c r="AH12" s="20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s="7" customFormat="1" ht="15.75" thickBot="1">
      <c r="B13" s="9"/>
      <c r="C13" s="7">
        <f aca="true" t="shared" si="2" ref="C13:I13">C6+C7+C8+C9+C10+C11+C12</f>
        <v>0</v>
      </c>
      <c r="D13" s="7">
        <f t="shared" si="2"/>
        <v>0</v>
      </c>
      <c r="E13" s="9">
        <f t="shared" si="0"/>
        <v>1</v>
      </c>
      <c r="G13" s="7">
        <v>120</v>
      </c>
      <c r="H13" s="49">
        <v>9371</v>
      </c>
      <c r="I13" s="41">
        <f t="shared" si="2"/>
        <v>10.02994138628369</v>
      </c>
      <c r="J13" s="7">
        <v>0.441</v>
      </c>
      <c r="K13" s="7">
        <v>0.361</v>
      </c>
      <c r="L13" s="7">
        <v>0.5233</v>
      </c>
      <c r="M13" s="12">
        <f t="shared" si="1"/>
        <v>0.7514285714285713</v>
      </c>
      <c r="N13" s="7">
        <f>N6+N7+N8+N9+N10+N11+N12</f>
        <v>1</v>
      </c>
      <c r="O13" s="41">
        <f>W13/7</f>
        <v>1623</v>
      </c>
      <c r="P13" s="5">
        <f aca="true" t="shared" si="3" ref="P13:W13">P6+P7+P8+P9+P10+P11+P12</f>
        <v>7.3561037828684475</v>
      </c>
      <c r="Q13" s="7">
        <f t="shared" si="3"/>
        <v>128335.6</v>
      </c>
      <c r="R13" s="7">
        <f t="shared" si="3"/>
        <v>11361</v>
      </c>
      <c r="S13" s="7">
        <f t="shared" si="3"/>
        <v>0</v>
      </c>
      <c r="T13" s="7">
        <f t="shared" si="3"/>
        <v>0</v>
      </c>
      <c r="U13" s="69">
        <f t="shared" si="3"/>
        <v>7.633769119876405</v>
      </c>
      <c r="V13" s="7">
        <f t="shared" si="3"/>
        <v>18394.9</v>
      </c>
      <c r="W13" s="7">
        <f t="shared" si="3"/>
        <v>11361</v>
      </c>
      <c r="X13" s="9"/>
      <c r="AA13" s="7">
        <f>AA6+AA7+AA8+AA9+AA10+AA11+AA12</f>
        <v>6</v>
      </c>
      <c r="AB13" s="7">
        <f>AB6+AB7+AB8+AB9+AB10+AB11+AB12</f>
        <v>13</v>
      </c>
      <c r="AH13" s="35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0:256" ht="15">
      <c r="J14" s="52"/>
      <c r="K14" s="52"/>
      <c r="L14" s="52"/>
      <c r="Q14" s="1" t="s">
        <v>103</v>
      </c>
      <c r="U14" s="98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21:256" ht="15">
      <c r="U15" s="99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ht="15">
      <c r="U16" s="99"/>
    </row>
    <row r="17" spans="5:21" ht="30.75" customHeight="1" thickBot="1">
      <c r="E17" s="1" t="s">
        <v>113</v>
      </c>
      <c r="U17" s="100"/>
    </row>
    <row r="18" spans="1:11" ht="15" hidden="1">
      <c r="A18" s="6" t="s">
        <v>0</v>
      </c>
      <c r="B18" s="76">
        <f>E6*I6*R6</f>
        <v>2960.407114331756</v>
      </c>
      <c r="E18" s="1">
        <v>11308</v>
      </c>
      <c r="H18" s="76">
        <f>B25</f>
        <v>21297.604216824555</v>
      </c>
      <c r="I18" s="1">
        <f>E6*I6*E18/H18</f>
        <v>0.6439300721564689</v>
      </c>
      <c r="K18" s="1" t="s">
        <v>54</v>
      </c>
    </row>
    <row r="19" spans="1:9" ht="15" hidden="1">
      <c r="A19" s="6" t="s">
        <v>1</v>
      </c>
      <c r="B19" s="76">
        <f aca="true" t="shared" si="4" ref="B19:B24">E7*I7*R7</f>
        <v>2795.9419453379796</v>
      </c>
      <c r="E19" s="1">
        <v>11308</v>
      </c>
      <c r="H19" s="76">
        <v>14048.201059824309</v>
      </c>
      <c r="I19" s="1">
        <f aca="true" t="shared" si="5" ref="I19:I24">E7*I7*E19/H19</f>
        <v>0.6495162127690369</v>
      </c>
    </row>
    <row r="20" spans="1:9" ht="15" hidden="1">
      <c r="A20" s="6" t="s">
        <v>2</v>
      </c>
      <c r="B20" s="76">
        <f t="shared" si="4"/>
        <v>2786.126070004109</v>
      </c>
      <c r="E20" s="1">
        <v>11308</v>
      </c>
      <c r="H20" s="76">
        <v>14048.201059824309</v>
      </c>
      <c r="I20" s="1">
        <f t="shared" si="5"/>
        <v>2.216079503832435</v>
      </c>
    </row>
    <row r="21" spans="1:9" ht="15" hidden="1">
      <c r="A21" s="6" t="s">
        <v>3</v>
      </c>
      <c r="B21" s="76">
        <f t="shared" si="4"/>
        <v>1191.4219524915227</v>
      </c>
      <c r="E21" s="1">
        <v>11308</v>
      </c>
      <c r="H21" s="76">
        <v>14048.201059824309</v>
      </c>
      <c r="I21" s="1">
        <f t="shared" si="5"/>
        <v>0.940222222480974</v>
      </c>
    </row>
    <row r="22" spans="1:9" ht="15" hidden="1">
      <c r="A22" s="6" t="s">
        <v>4</v>
      </c>
      <c r="B22" s="76">
        <f t="shared" si="4"/>
        <v>1797.983438377338</v>
      </c>
      <c r="E22" s="1">
        <v>11308</v>
      </c>
      <c r="H22" s="76">
        <v>14048.201059824309</v>
      </c>
      <c r="I22" s="1">
        <f t="shared" si="5"/>
        <v>2.2649046030094966</v>
      </c>
    </row>
    <row r="23" spans="1:9" ht="15" hidden="1">
      <c r="A23" s="6" t="s">
        <v>5</v>
      </c>
      <c r="B23" s="76">
        <f t="shared" si="4"/>
        <v>3566.8637086448575</v>
      </c>
      <c r="E23" s="1">
        <v>11308</v>
      </c>
      <c r="H23" s="76">
        <v>14048.201059824309</v>
      </c>
      <c r="I23" s="1">
        <f t="shared" si="5"/>
        <v>1.7432432868785375</v>
      </c>
    </row>
    <row r="24" spans="1:9" ht="15" hidden="1">
      <c r="A24" s="6" t="s">
        <v>6</v>
      </c>
      <c r="B24" s="76">
        <f t="shared" si="4"/>
        <v>6198.859987636991</v>
      </c>
      <c r="E24" s="1">
        <v>11308</v>
      </c>
      <c r="H24" s="76">
        <v>14048.201059824309</v>
      </c>
      <c r="I24" s="1">
        <f t="shared" si="5"/>
        <v>4.38850348912224</v>
      </c>
    </row>
    <row r="25" ht="15" hidden="1">
      <c r="B25" s="75">
        <f>SUM(B18:B24)</f>
        <v>21297.604216824555</v>
      </c>
    </row>
  </sheetData>
  <sheetProtection/>
  <mergeCells count="2">
    <mergeCell ref="A2:N2"/>
    <mergeCell ref="U14:U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4">
      <selection activeCell="D14" sqref="D14"/>
    </sheetView>
  </sheetViews>
  <sheetFormatPr defaultColWidth="9.140625" defaultRowHeight="15"/>
  <cols>
    <col min="1" max="1" width="14.57421875" style="0" customWidth="1"/>
    <col min="2" max="2" width="12.140625" style="0" hidden="1" customWidth="1"/>
    <col min="3" max="3" width="14.00390625" style="0" customWidth="1"/>
    <col min="4" max="4" width="13.57421875" style="0" customWidth="1"/>
    <col min="5" max="5" width="14.28125" style="0" customWidth="1"/>
  </cols>
  <sheetData>
    <row r="2" spans="1:5" ht="15">
      <c r="A2" s="101"/>
      <c r="B2" s="47"/>
      <c r="C2" s="47"/>
      <c r="D2" s="47"/>
      <c r="E2" s="47"/>
    </row>
    <row r="3" spans="1:5" ht="15">
      <c r="A3" s="102"/>
      <c r="B3" s="47" t="s">
        <v>96</v>
      </c>
      <c r="C3" s="47"/>
      <c r="D3" s="47"/>
      <c r="E3" s="47"/>
    </row>
    <row r="4" spans="1:5" ht="15" customHeight="1">
      <c r="A4" s="6" t="s">
        <v>0</v>
      </c>
      <c r="B4" s="47"/>
      <c r="C4" s="47"/>
      <c r="D4" s="47"/>
      <c r="E4" s="47"/>
    </row>
    <row r="5" spans="1:5" ht="16.5" customHeight="1">
      <c r="A5" s="6" t="s">
        <v>1</v>
      </c>
      <c r="B5" s="47"/>
      <c r="C5" s="47"/>
      <c r="D5" s="47"/>
      <c r="E5" s="47"/>
    </row>
    <row r="6" spans="1:5" ht="16.5" customHeight="1">
      <c r="A6" s="6" t="s">
        <v>2</v>
      </c>
      <c r="B6" s="47">
        <v>596.5</v>
      </c>
      <c r="C6" s="47"/>
      <c r="D6" s="47"/>
      <c r="E6" s="47"/>
    </row>
    <row r="7" spans="1:5" ht="17.25" customHeight="1">
      <c r="A7" s="6" t="s">
        <v>3</v>
      </c>
      <c r="B7" s="47">
        <v>330.55</v>
      </c>
      <c r="C7" s="47"/>
      <c r="D7" s="47"/>
      <c r="E7" s="47"/>
    </row>
    <row r="8" spans="1:5" ht="16.5" customHeight="1">
      <c r="A8" s="6" t="s">
        <v>4</v>
      </c>
      <c r="B8" s="47"/>
      <c r="C8" s="47"/>
      <c r="D8" s="47"/>
      <c r="E8" s="47"/>
    </row>
    <row r="9" spans="1:5" ht="18" customHeight="1">
      <c r="A9" s="6" t="s">
        <v>5</v>
      </c>
      <c r="B9" s="47"/>
      <c r="C9" s="47"/>
      <c r="D9" s="47"/>
      <c r="E9" s="47"/>
    </row>
    <row r="10" spans="1:5" ht="20.25" customHeight="1">
      <c r="A10" s="6" t="s">
        <v>6</v>
      </c>
      <c r="B10" s="47"/>
      <c r="C10" s="47"/>
      <c r="D10" s="47"/>
      <c r="E10" s="47"/>
    </row>
    <row r="11" spans="1:5" ht="9" customHeight="1">
      <c r="A11" s="7"/>
      <c r="B11" s="47"/>
      <c r="C11" s="47"/>
      <c r="D11" s="47"/>
      <c r="E11" s="47"/>
    </row>
    <row r="13" spans="1:5" ht="32.25" customHeight="1">
      <c r="A13" s="47"/>
      <c r="B13" s="47" t="s">
        <v>110</v>
      </c>
      <c r="C13" s="47" t="s">
        <v>111</v>
      </c>
      <c r="D13" s="47" t="str">
        <f>B13</f>
        <v>ИСПРАВЛ</v>
      </c>
      <c r="E13" s="47"/>
    </row>
    <row r="14" spans="1:5" ht="111" customHeight="1">
      <c r="A14" s="4"/>
      <c r="B14" s="73" t="str">
        <f>'Расчет распределения дотаций'!D3</f>
        <v>Объем дотации на выравнивание бюджетной обеспеченности поселений n-му поселению</v>
      </c>
      <c r="C14" s="73" t="str">
        <f>'[1]Расчет распределения дотаций'!$D$3</f>
        <v>Объем дотации на выравнивание бюджетной обеспеченности поселений n-му поселению</v>
      </c>
      <c r="D14" s="73" t="str">
        <f aca="true" t="shared" si="0" ref="D14:D23">B14</f>
        <v>Объем дотации на выравнивание бюджетной обеспеченности поселений n-му поселению</v>
      </c>
      <c r="E14" s="47" t="s">
        <v>112</v>
      </c>
    </row>
    <row r="15" spans="1:5" ht="15">
      <c r="A15" s="28"/>
      <c r="B15" s="47" t="str">
        <f>'Расчет распределения дотаций'!D4</f>
        <v>Дn</v>
      </c>
      <c r="C15" s="47"/>
      <c r="D15" s="47" t="str">
        <f t="shared" si="0"/>
        <v>Дn</v>
      </c>
      <c r="E15" s="47"/>
    </row>
    <row r="16" spans="1:5" ht="15">
      <c r="A16" s="6" t="s">
        <v>0</v>
      </c>
      <c r="B16" s="74">
        <f>'Расчет распределения дотаций'!D5</f>
        <v>2374</v>
      </c>
      <c r="C16" s="74">
        <f>'[1]Расчет распределения дотаций'!$D$5</f>
        <v>1693.261527084058</v>
      </c>
      <c r="D16" s="74">
        <f t="shared" si="0"/>
        <v>2374</v>
      </c>
      <c r="E16" s="74">
        <f>D16-C16</f>
        <v>680.7384729159421</v>
      </c>
    </row>
    <row r="17" spans="1:5" ht="15">
      <c r="A17" s="6" t="s">
        <v>1</v>
      </c>
      <c r="B17" s="74">
        <f>'Расчет распределения дотаций'!D6</f>
        <v>4768</v>
      </c>
      <c r="C17" s="74">
        <f>'[1]Расчет распределения дотаций'!$D$6</f>
        <v>1063.075186719714</v>
      </c>
      <c r="D17" s="74">
        <f t="shared" si="0"/>
        <v>4768</v>
      </c>
      <c r="E17" s="74">
        <f aca="true" t="shared" si="1" ref="E17:E23">D17-C17</f>
        <v>3704.924813280286</v>
      </c>
    </row>
    <row r="18" spans="1:5" ht="15">
      <c r="A18" s="6" t="s">
        <v>2</v>
      </c>
      <c r="B18" s="74">
        <f>'Расчет распределения дотаций'!D7</f>
        <v>5687</v>
      </c>
      <c r="C18" s="74">
        <f>'[1]Расчет распределения дотаций'!$D$7</f>
        <v>2214.6221403774516</v>
      </c>
      <c r="D18" s="74">
        <f t="shared" si="0"/>
        <v>5687</v>
      </c>
      <c r="E18" s="74">
        <f t="shared" si="1"/>
        <v>3472.3778596225484</v>
      </c>
    </row>
    <row r="19" spans="1:5" ht="15">
      <c r="A19" s="6" t="s">
        <v>3</v>
      </c>
      <c r="B19" s="74">
        <f>'Расчет распределения дотаций'!D8</f>
        <v>3641</v>
      </c>
      <c r="C19" s="74">
        <f>'[1]Расчет распределения дотаций'!$D$8</f>
        <v>2214.6015265184</v>
      </c>
      <c r="D19" s="74">
        <f t="shared" si="0"/>
        <v>3641</v>
      </c>
      <c r="E19" s="74">
        <f t="shared" si="1"/>
        <v>1426.3984734816</v>
      </c>
    </row>
    <row r="20" spans="1:5" ht="15">
      <c r="A20" s="6" t="s">
        <v>4</v>
      </c>
      <c r="B20" s="74">
        <f>'Расчет распределения дотаций'!D9</f>
        <v>3964</v>
      </c>
      <c r="C20" s="74">
        <f>'[1]Расчет распределения дотаций'!$D$9</f>
        <v>2168.9996436132606</v>
      </c>
      <c r="D20" s="74">
        <f t="shared" si="0"/>
        <v>3964</v>
      </c>
      <c r="E20" s="74">
        <f t="shared" si="1"/>
        <v>1795.0003563867394</v>
      </c>
    </row>
    <row r="21" spans="1:5" ht="15">
      <c r="A21" s="6" t="s">
        <v>5</v>
      </c>
      <c r="B21" s="74">
        <f>'Расчет распределения дотаций'!D10</f>
        <v>3219</v>
      </c>
      <c r="C21" s="74">
        <f>'[1]Расчет распределения дотаций'!$D$10</f>
        <v>2029.73371639395</v>
      </c>
      <c r="D21" s="74">
        <f t="shared" si="0"/>
        <v>3219</v>
      </c>
      <c r="E21" s="74">
        <f t="shared" si="1"/>
        <v>1189.26628360605</v>
      </c>
    </row>
    <row r="22" spans="1:5" ht="15">
      <c r="A22" s="6" t="s">
        <v>6</v>
      </c>
      <c r="B22" s="74">
        <f>'Расчет распределения дотаций'!D11</f>
        <v>3011.3999999999996</v>
      </c>
      <c r="C22" s="74">
        <f>'[1]Расчет распределения дотаций'!$D$11</f>
        <v>2182.656259293166</v>
      </c>
      <c r="D22" s="74">
        <f t="shared" si="0"/>
        <v>3011.3999999999996</v>
      </c>
      <c r="E22" s="74">
        <f t="shared" si="1"/>
        <v>828.7437407068337</v>
      </c>
    </row>
    <row r="23" spans="1:5" ht="15">
      <c r="A23" s="7"/>
      <c r="B23" s="74">
        <f>'Расчет распределения дотаций'!D12</f>
        <v>26664.4</v>
      </c>
      <c r="C23" s="74">
        <f>'[1]Расчет распределения дотаций'!$D$12</f>
        <v>13566.95</v>
      </c>
      <c r="D23" s="74">
        <f t="shared" si="0"/>
        <v>26664.4</v>
      </c>
      <c r="E23" s="74">
        <f t="shared" si="1"/>
        <v>13097.45</v>
      </c>
    </row>
  </sheetData>
  <sheetProtection/>
  <mergeCells count="1">
    <mergeCell ref="A2:A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Сыргалай</cp:lastModifiedBy>
  <cp:lastPrinted>2022-11-08T09:31:14Z</cp:lastPrinted>
  <dcterms:created xsi:type="dcterms:W3CDTF">2013-10-21T02:57:49Z</dcterms:created>
  <dcterms:modified xsi:type="dcterms:W3CDTF">2022-11-08T09:31:17Z</dcterms:modified>
  <cp:category/>
  <cp:version/>
  <cp:contentType/>
  <cp:contentStatus/>
</cp:coreProperties>
</file>